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\"/>
    </mc:Choice>
  </mc:AlternateContent>
  <xr:revisionPtr revIDLastSave="0" documentId="13_ncr:1_{6812D428-7653-4033-B0B5-ED5887D27A17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7'!$A$1:$D$182</definedName>
    <definedName name="_xlnm.Print_Area" localSheetId="0">'Table 1'!$A$1:$H$51</definedName>
    <definedName name="_xlnm.Print_Area" localSheetId="9">'Table 10'!$A$1:$N$100</definedName>
    <definedName name="_xlnm.Print_Area" localSheetId="10">'Table 11'!$A$1:$N$78</definedName>
    <definedName name="_xlnm.Print_Area" localSheetId="11">'Table 12'!$A$1:$N$57</definedName>
    <definedName name="_xlnm.Print_Area" localSheetId="12">'Table 13'!$A$1:$O$91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7'!$A$1:$Q$91</definedName>
    <definedName name="_xlnm.Print_Area" localSheetId="7">'Table 8'!$A$1:$R$74</definedName>
    <definedName name="_xlnm.Print_Area" localSheetId="8">'Table 9'!$A$1:$R$28</definedName>
    <definedName name="_xlnm.Print_Area">'Table 7'!$A$1:$D$182</definedName>
    <definedName name="Print_Area_MI" localSheetId="9">'Table 10'!$A$1:$O$118</definedName>
    <definedName name="Print_Area_MI" localSheetId="10">'Table 11'!$B$1:$D$98</definedName>
    <definedName name="Print_Area_MI" localSheetId="11">#N/A</definedName>
    <definedName name="Print_Area_MI" localSheetId="12">'Table 13'!$A$1:$O$112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7'!$A$1:$A$96</definedName>
    <definedName name="Print_Area_MI" localSheetId="7">'Table 8'!$A$1:$B$77</definedName>
    <definedName name="Print_Area_MI">#REF!</definedName>
    <definedName name="RICE" localSheetId="9">'Table 10'!$A$1:$N$117</definedName>
    <definedName name="RICE" localSheetId="10">'Table 11'!$B$1:$D$94</definedName>
    <definedName name="RICE" localSheetId="11">#N/A</definedName>
    <definedName name="RICE" localSheetId="12">'Table 13'!$A$1:$O$108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7'!$A$1:$A$92</definedName>
    <definedName name="RICE" localSheetId="7">'Table 8'!$A$1:$B$73</definedName>
    <definedName name="RICE">#REF!</definedName>
    <definedName name="TABLE" localSheetId="10">'Table 11'!$B$1:$H$115</definedName>
    <definedName name="TABLE" localSheetId="11">#N/A</definedName>
    <definedName name="TABLE" localSheetId="12">'Table 13'!$A$1:$C$129</definedName>
    <definedName name="TABLE" localSheetId="7">'Table 8'!$A$1:$B$94</definedName>
    <definedName name="TABLE">'Table 7'!$A$1:$A$113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5" l="1"/>
  <c r="P19" i="15"/>
  <c r="P18" i="15"/>
  <c r="P20" i="15" s="1"/>
  <c r="P14" i="15"/>
  <c r="P13" i="15"/>
  <c r="P9" i="15"/>
  <c r="P8" i="15"/>
  <c r="N25" i="15"/>
  <c r="N19" i="15"/>
  <c r="N18" i="15"/>
  <c r="N14" i="15"/>
  <c r="N13" i="15"/>
  <c r="N9" i="15"/>
  <c r="N8" i="15"/>
  <c r="R32" i="10"/>
  <c r="O69" i="10"/>
  <c r="O62" i="10"/>
  <c r="O60" i="10"/>
  <c r="O57" i="10"/>
  <c r="O56" i="10"/>
  <c r="O55" i="10"/>
  <c r="O54" i="10"/>
  <c r="O53" i="10"/>
  <c r="O50" i="10"/>
  <c r="O47" i="10"/>
  <c r="O31" i="10"/>
  <c r="O29" i="10"/>
  <c r="O25" i="10"/>
  <c r="O24" i="10"/>
  <c r="O18" i="10"/>
  <c r="O17" i="10"/>
  <c r="O16" i="10"/>
  <c r="O11" i="10"/>
  <c r="O10" i="10"/>
  <c r="O9" i="10"/>
  <c r="E33" i="10"/>
  <c r="D33" i="10"/>
  <c r="C33" i="10"/>
  <c r="N69" i="10"/>
  <c r="N62" i="10"/>
  <c r="N60" i="10"/>
  <c r="N57" i="10"/>
  <c r="N56" i="10"/>
  <c r="N55" i="10"/>
  <c r="N54" i="10"/>
  <c r="N50" i="10"/>
  <c r="N47" i="10"/>
  <c r="N65" i="10" s="1"/>
  <c r="N29" i="10"/>
  <c r="N25" i="10"/>
  <c r="N24" i="10"/>
  <c r="N17" i="10"/>
  <c r="N20" i="10" s="1"/>
  <c r="N16" i="10"/>
  <c r="N10" i="10"/>
  <c r="M24" i="13"/>
  <c r="N24" i="13"/>
  <c r="G24" i="13"/>
  <c r="H24" i="13"/>
  <c r="O14" i="10" l="1"/>
  <c r="O20" i="10"/>
  <c r="O33" i="10" s="1"/>
  <c r="O65" i="10"/>
  <c r="P15" i="15"/>
  <c r="P23" i="15"/>
  <c r="P24" i="15"/>
  <c r="P10" i="15"/>
  <c r="Q65" i="9"/>
  <c r="O84" i="9"/>
  <c r="N84" i="9"/>
  <c r="O59" i="9"/>
  <c r="N59" i="9"/>
  <c r="O55" i="9"/>
  <c r="N55" i="9"/>
  <c r="O54" i="9"/>
  <c r="N54" i="9"/>
  <c r="O53" i="9"/>
  <c r="N53" i="9"/>
  <c r="O52" i="9"/>
  <c r="N52" i="9"/>
  <c r="O50" i="9"/>
  <c r="N50" i="9"/>
  <c r="O49" i="9"/>
  <c r="N49" i="9"/>
  <c r="O47" i="9"/>
  <c r="N47" i="9"/>
  <c r="O46" i="9"/>
  <c r="N46" i="9"/>
  <c r="O45" i="9"/>
  <c r="N45" i="9"/>
  <c r="O36" i="9"/>
  <c r="N36" i="9"/>
  <c r="O40" i="9"/>
  <c r="N40" i="9"/>
  <c r="O34" i="9"/>
  <c r="N34" i="9"/>
  <c r="O25" i="9"/>
  <c r="N25" i="9"/>
  <c r="O18" i="9"/>
  <c r="N18" i="9"/>
  <c r="I22" i="5"/>
  <c r="I21" i="5"/>
  <c r="G19" i="5"/>
  <c r="M22" i="5"/>
  <c r="M21" i="5"/>
  <c r="O57" i="9" l="1"/>
  <c r="N57" i="9"/>
  <c r="P86" i="9"/>
  <c r="Q86" i="9" s="1"/>
  <c r="P84" i="9"/>
  <c r="Q84" i="9" s="1"/>
  <c r="P82" i="9"/>
  <c r="P80" i="9"/>
  <c r="Q80" i="9" s="1"/>
  <c r="P79" i="9"/>
  <c r="Q79" i="9" s="1"/>
  <c r="P78" i="9"/>
  <c r="P77" i="9"/>
  <c r="Q77" i="9" s="1"/>
  <c r="P75" i="9"/>
  <c r="Q75" i="9" s="1"/>
  <c r="P74" i="9"/>
  <c r="Q74" i="9" s="1"/>
  <c r="P72" i="9"/>
  <c r="Q72" i="9" s="1"/>
  <c r="P71" i="9"/>
  <c r="Q71" i="9" s="1"/>
  <c r="P69" i="9"/>
  <c r="Q69" i="9" s="1"/>
  <c r="P68" i="9"/>
  <c r="Q68" i="9" s="1"/>
  <c r="P67" i="9"/>
  <c r="Q67" i="9" s="1"/>
  <c r="P65" i="9"/>
  <c r="P64" i="9"/>
  <c r="Q64" i="9" s="1"/>
  <c r="P63" i="9"/>
  <c r="Q63" i="9" s="1"/>
  <c r="P59" i="9"/>
  <c r="Q59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P40" i="9"/>
  <c r="P39" i="9"/>
  <c r="P38" i="9"/>
  <c r="Q38" i="9" s="1"/>
  <c r="P37" i="9"/>
  <c r="P36" i="9"/>
  <c r="Q36" i="9" s="1"/>
  <c r="P34" i="9"/>
  <c r="Q34" i="9" s="1"/>
  <c r="P33" i="9"/>
  <c r="Q33" i="9" s="1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Q24" i="9" s="1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D72" i="12"/>
  <c r="D71" i="12"/>
  <c r="D3" i="12"/>
  <c r="J74" i="12"/>
  <c r="J72" i="12" s="1"/>
  <c r="J71" i="12"/>
  <c r="D44" i="13"/>
  <c r="D47" i="13" s="1"/>
  <c r="D48" i="13" s="1"/>
  <c r="D3" i="13"/>
  <c r="J52" i="13"/>
  <c r="J47" i="13"/>
  <c r="J48" i="13" s="1"/>
  <c r="D84" i="14"/>
  <c r="D85" i="14" s="1"/>
  <c r="D3" i="14"/>
  <c r="J85" i="14"/>
  <c r="J84" i="14"/>
  <c r="M16" i="12"/>
  <c r="N16" i="12"/>
  <c r="G16" i="12"/>
  <c r="H16" i="12"/>
  <c r="O80" i="14"/>
  <c r="P57" i="9" l="1"/>
  <c r="Q57" i="9" s="1"/>
  <c r="D52" i="13"/>
  <c r="M27" i="12"/>
  <c r="N27" i="12"/>
  <c r="G27" i="12"/>
  <c r="H27" i="12"/>
  <c r="N23" i="10" l="1"/>
  <c r="E3" i="12" l="1"/>
  <c r="E3" i="13"/>
  <c r="F3" i="14"/>
  <c r="M15" i="15"/>
  <c r="M20" i="15"/>
  <c r="M24" i="15"/>
  <c r="M23" i="15"/>
  <c r="M10" i="15"/>
  <c r="L65" i="10"/>
  <c r="M65" i="10"/>
  <c r="M25" i="15" l="1"/>
  <c r="E44" i="13"/>
  <c r="N24" i="14" l="1"/>
  <c r="O24" i="14"/>
  <c r="H24" i="14"/>
  <c r="I24" i="14"/>
  <c r="B86" i="11" l="1"/>
  <c r="M20" i="10" l="1"/>
  <c r="M33" i="10" s="1"/>
  <c r="M9" i="10"/>
  <c r="M14" i="10"/>
  <c r="C22" i="8"/>
  <c r="B22" i="8"/>
  <c r="F22" i="8" l="1"/>
  <c r="E22" i="8"/>
  <c r="I22" i="8"/>
  <c r="H22" i="8"/>
  <c r="N86" i="11"/>
  <c r="L86" i="11"/>
  <c r="K86" i="11"/>
  <c r="J86" i="11"/>
  <c r="I86" i="11"/>
  <c r="H86" i="11"/>
  <c r="G86" i="11"/>
  <c r="C86" i="11"/>
  <c r="L80" i="11" l="1"/>
  <c r="B80" i="11"/>
  <c r="L36" i="9"/>
  <c r="K36" i="9"/>
  <c r="L18" i="9"/>
  <c r="N10" i="15" l="1"/>
  <c r="P18" i="10"/>
  <c r="R18" i="10" s="1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7" i="14"/>
  <c r="N7" i="14"/>
  <c r="H7" i="14"/>
  <c r="E71" i="12"/>
  <c r="M74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0" i="12"/>
  <c r="M31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M52" i="13" s="1"/>
  <c r="K47" i="13"/>
  <c r="M47" i="13" s="1"/>
  <c r="K48" i="13" l="1"/>
  <c r="M48" i="13" s="1"/>
  <c r="N33" i="10"/>
  <c r="G54" i="4" l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2" i="12"/>
  <c r="B71" i="12"/>
  <c r="B72" i="12" s="1"/>
  <c r="E52" i="13"/>
  <c r="E47" i="13"/>
  <c r="E48" i="13" s="1"/>
  <c r="B52" i="13"/>
  <c r="B47" i="13"/>
  <c r="B48" i="13" s="1"/>
  <c r="F84" i="14"/>
  <c r="F85" i="14" s="1"/>
  <c r="B84" i="14"/>
  <c r="B85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5" i="12"/>
  <c r="G45" i="12"/>
  <c r="H45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0" i="14"/>
  <c r="H80" i="14"/>
  <c r="N17" i="12"/>
  <c r="G17" i="12"/>
  <c r="H17" i="12"/>
  <c r="O47" i="14"/>
  <c r="I47" i="14"/>
  <c r="H47" i="14"/>
  <c r="I33" i="14"/>
  <c r="H33" i="14"/>
  <c r="O33" i="14"/>
  <c r="O26" i="14"/>
  <c r="I26" i="14"/>
  <c r="H26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5" i="13"/>
  <c r="L25" i="9" l="1"/>
  <c r="B21" i="7" l="1"/>
  <c r="L84" i="9" l="1"/>
  <c r="L59" i="9"/>
  <c r="L55" i="9"/>
  <c r="L54" i="9"/>
  <c r="L53" i="9"/>
  <c r="L52" i="9"/>
  <c r="L50" i="9"/>
  <c r="L49" i="9"/>
  <c r="L47" i="9"/>
  <c r="L46" i="9"/>
  <c r="L45" i="9"/>
  <c r="L40" i="9"/>
  <c r="L34" i="9"/>
  <c r="P24" i="6"/>
  <c r="P23" i="6"/>
  <c r="O3" i="6"/>
  <c r="N80" i="11"/>
  <c r="K80" i="11"/>
  <c r="J80" i="11"/>
  <c r="H80" i="11"/>
  <c r="G80" i="11"/>
  <c r="E80" i="11"/>
  <c r="K71" i="12"/>
  <c r="M71" i="12" s="1"/>
  <c r="L57" i="9" l="1"/>
  <c r="N15" i="15"/>
  <c r="L20" i="10"/>
  <c r="L33" i="10" s="1"/>
  <c r="H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N9" i="10"/>
  <c r="K25" i="9" l="1"/>
  <c r="H54" i="4" l="1"/>
  <c r="G47" i="13" l="1"/>
  <c r="L65" i="11" l="1"/>
  <c r="J84" i="9" l="1"/>
  <c r="G84" i="9"/>
  <c r="C84" i="9"/>
  <c r="B84" i="9"/>
  <c r="K84" i="9"/>
  <c r="I84" i="9"/>
  <c r="H84" i="9"/>
  <c r="F84" i="9"/>
  <c r="E84" i="9"/>
  <c r="D84" i="9"/>
  <c r="K59" i="9"/>
  <c r="K55" i="9"/>
  <c r="K54" i="9"/>
  <c r="K53" i="9"/>
  <c r="K52" i="9"/>
  <c r="K50" i="9"/>
  <c r="K49" i="9"/>
  <c r="K47" i="9"/>
  <c r="K46" i="9"/>
  <c r="K45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I65" i="11"/>
  <c r="G65" i="11"/>
  <c r="F25" i="9" l="1"/>
  <c r="E25" i="9"/>
  <c r="D25" i="9"/>
  <c r="C25" i="9"/>
  <c r="B25" i="9"/>
  <c r="J36" i="9"/>
  <c r="E65" i="11"/>
  <c r="C65" i="11"/>
  <c r="B65" i="11"/>
  <c r="N14" i="10"/>
  <c r="H15" i="2"/>
  <c r="O87" i="14" l="1"/>
  <c r="O83" i="14"/>
  <c r="O82" i="14"/>
  <c r="O81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2" i="14"/>
  <c r="O31" i="14"/>
  <c r="O30" i="14"/>
  <c r="O29" i="14"/>
  <c r="O28" i="14"/>
  <c r="O27" i="14"/>
  <c r="O25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P41" i="10"/>
  <c r="P40" i="10"/>
  <c r="P39" i="10"/>
  <c r="R39" i="10" s="1"/>
  <c r="P38" i="10"/>
  <c r="P37" i="10"/>
  <c r="P36" i="10"/>
  <c r="P31" i="10"/>
  <c r="P30" i="10"/>
  <c r="R30" i="10" s="1"/>
  <c r="P28" i="10"/>
  <c r="P27" i="10"/>
  <c r="R27" i="10" s="1"/>
  <c r="P26" i="10"/>
  <c r="P23" i="10"/>
  <c r="R23" i="10" s="1"/>
  <c r="P22" i="10"/>
  <c r="P21" i="10"/>
  <c r="R21" i="10" s="1"/>
  <c r="P12" i="10"/>
  <c r="P11" i="10"/>
  <c r="I25" i="15" l="1"/>
  <c r="J25" i="15"/>
  <c r="H47" i="4" l="1"/>
  <c r="H56" i="4" s="1"/>
  <c r="H60" i="4" s="1"/>
  <c r="H23" i="4"/>
  <c r="H16" i="4"/>
  <c r="H19" i="4" s="1"/>
  <c r="I87" i="14"/>
  <c r="I83" i="14"/>
  <c r="I82" i="14"/>
  <c r="I81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2" i="14"/>
  <c r="I31" i="14"/>
  <c r="I30" i="14"/>
  <c r="I29" i="14"/>
  <c r="I28" i="14"/>
  <c r="I27" i="14"/>
  <c r="I25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7" i="14"/>
  <c r="H83" i="14"/>
  <c r="H82" i="14"/>
  <c r="H81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2" i="14"/>
  <c r="H31" i="14"/>
  <c r="H30" i="14"/>
  <c r="H29" i="14"/>
  <c r="H28" i="14"/>
  <c r="H27" i="14"/>
  <c r="H25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4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4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5" i="14"/>
  <c r="H48" i="13"/>
  <c r="H47" i="13"/>
  <c r="I85" i="14"/>
  <c r="I84" i="14"/>
  <c r="H72" i="12"/>
  <c r="H71" i="12"/>
  <c r="H84" i="14"/>
  <c r="G48" i="13"/>
  <c r="G72" i="12"/>
  <c r="G71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P52" i="10"/>
  <c r="P51" i="10"/>
  <c r="P50" i="10"/>
  <c r="R50" i="10" s="1"/>
  <c r="P47" i="10"/>
  <c r="R47" i="10" s="1"/>
  <c r="P45" i="10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20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B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6" i="13"/>
  <c r="N40" i="13" l="1"/>
  <c r="N18" i="13"/>
  <c r="N68" i="12"/>
  <c r="N60" i="12"/>
  <c r="N38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49" i="12"/>
  <c r="N50" i="12" l="1"/>
  <c r="N51" i="12"/>
  <c r="N12" i="12"/>
  <c r="I20" i="10" l="1"/>
  <c r="I33" i="10" s="1"/>
  <c r="I9" i="10"/>
  <c r="I65" i="10" l="1"/>
  <c r="N52" i="12"/>
  <c r="N29" i="13"/>
  <c r="N28" i="13"/>
  <c r="N31" i="13"/>
  <c r="L84" i="14"/>
  <c r="N84" i="14" s="1"/>
  <c r="O84" i="14" l="1"/>
  <c r="L85" i="14"/>
  <c r="N85" i="14" s="1"/>
  <c r="O85" i="14" l="1"/>
  <c r="N57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3" i="12"/>
  <c r="N34" i="12"/>
  <c r="N35" i="12"/>
  <c r="N36" i="12"/>
  <c r="N37" i="12"/>
  <c r="N39" i="12"/>
  <c r="N40" i="12"/>
  <c r="N41" i="12"/>
  <c r="N42" i="12"/>
  <c r="N43" i="12"/>
  <c r="N44" i="12"/>
  <c r="N46" i="12"/>
  <c r="N47" i="12"/>
  <c r="N48" i="12"/>
  <c r="N53" i="12"/>
  <c r="N54" i="12"/>
  <c r="N55" i="12"/>
  <c r="N56" i="12"/>
  <c r="N58" i="12"/>
  <c r="N59" i="12"/>
  <c r="N61" i="12"/>
  <c r="N62" i="12"/>
  <c r="N63" i="12"/>
  <c r="N64" i="12"/>
  <c r="N65" i="12"/>
  <c r="N66" i="12"/>
  <c r="N67" i="12"/>
  <c r="N69" i="12"/>
  <c r="N70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4" i="12"/>
  <c r="L23" i="6"/>
  <c r="D23" i="6"/>
  <c r="E21" i="5"/>
  <c r="K72" i="12" l="1"/>
  <c r="M72" i="12" s="1"/>
  <c r="N71" i="12"/>
  <c r="N47" i="13"/>
  <c r="N72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<sst xmlns="http://schemas.openxmlformats.org/spreadsheetml/2006/main" count="1023" uniqueCount="495">
  <si>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</si>
  <si>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</si>
  <si>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</si>
  <si>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</si>
  <si>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</si>
  <si>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</si>
  <si>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</si>
  <si>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</si>
  <si>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</si>
  <si>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</si>
  <si>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</si>
  <si>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</si>
  <si>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</si>
  <si>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</si>
  <si>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</si>
  <si>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</si>
  <si>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</si>
  <si>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</si>
  <si>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</si>
  <si>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</si>
  <si>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</si>
  <si>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</si>
  <si>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</si>
  <si>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</si>
  <si>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</si>
  <si>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</si>
  <si>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</si>
  <si>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</si>
  <si>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</si>
  <si>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</si>
  <si>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</si>
  <si>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</si>
  <si>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</si>
  <si>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</si>
  <si>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</si>
  <si>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</si>
  <si>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</si>
  <si>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</si>
  <si>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</si>
  <si>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</si>
  <si>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</si>
  <si>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</si>
  <si>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</si>
  <si>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</si>
  <si>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</si>
  <si>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</si>
  <si>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</si>
  <si>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</si>
  <si>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</si>
  <si>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</si>
  <si>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</si>
  <si>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</si>
  <si>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</si>
  <si>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</si>
  <si>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</si>
  <si>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</si>
  <si>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</si>
  <si>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</si>
  <si>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</si>
  <si>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</si>
  <si>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</si>
  <si>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</si>
  <si>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</si>
  <si>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</si>
  <si>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</si>
  <si>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</si>
  <si>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</si>
  <si>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</si>
  <si>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</si>
  <si>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</si>
  <si>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</si>
  <si>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</si>
  <si>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</si>
  <si>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</si>
  <si>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</si>
  <si>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</si>
  <si>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</si>
  <si>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</si>
  <si>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</si>
  <si>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</si>
  <si>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</si>
  <si>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</si>
  <si>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</si>
  <si>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</si>
  <si>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</si>
  <si>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</si>
  <si>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</si>
  <si>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</si>
  <si>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</si>
  <si>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</si>
  <si>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</si>
  <si>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</si>
  <si>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</si>
  <si>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</si>
  <si>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</si>
  <si>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</si>
  <si>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</si>
  <si>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</si>
  <si>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</si>
  <si>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</si>
  <si>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</si>
  <si>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</si>
  <si>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</si>
  <si>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</si>
  <si>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</si>
  <si>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</si>
  <si>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</si>
  <si>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</si>
  <si>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</si>
  <si>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</si>
  <si>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</si>
  <si>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</si>
  <si>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</si>
  <si>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</si>
  <si>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</si>
  <si>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</si>
  <si>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</si>
  <si>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</si>
  <si>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</si>
  <si>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</si>
  <si>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</si>
  <si>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</si>
  <si>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</si>
  <si>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</si>
  <si>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</si>
  <si>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</si>
  <si>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</si>
  <si>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</si>
  <si>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</si>
  <si>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</si>
  <si>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</si>
  <si>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</si>
  <si>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</si>
  <si>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</si>
  <si>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</si>
  <si>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</si>
  <si>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</si>
  <si>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</si>
  <si>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</si>
  <si>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</si>
  <si>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</si>
  <si>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</si>
  <si>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</si>
  <si>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</si>
  <si>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</si>
  <si>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</si>
  <si>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</si>
  <si>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</si>
  <si>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</si>
  <si>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</si>
  <si>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</si>
  <si>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</si>
  <si>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</si>
  <si>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</si>
  <si>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</si>
  <si>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</si>
  <si>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</si>
  <si>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</si>
  <si>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</si>
  <si>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</si>
  <si>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</si>
  <si>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</si>
  <si>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</si>
  <si>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</si>
  <si>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</si>
  <si>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</si>
  <si>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</si>
  <si>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</si>
  <si>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</si>
  <si>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</si>
  <si>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</si>
  <si>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</si>
  <si>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</si>
  <si>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</si>
  <si>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</si>
  <si>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</si>
  <si>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</si>
  <si>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</si>
  <si>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</si>
  <si>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</si>
  <si>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</si>
  <si>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</si>
  <si>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</si>
  <si>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</si>
  <si>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</si>
  <si>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</si>
  <si>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</si>
  <si>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</si>
  <si>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</si>
  <si>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</si>
  <si>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</si>
  <si>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</si>
  <si>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</si>
  <si>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</si>
  <si>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</si>
  <si>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</si>
  <si>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</si>
  <si>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</si>
  <si>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</si>
  <si>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</si>
  <si>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</si>
  <si>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</si>
  <si>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</si>
  <si>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</si>
  <si>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</si>
  <si>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</si>
  <si>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</si>
  <si>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</si>
  <si>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</si>
  <si>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</si>
  <si>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</si>
  <si>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</si>
  <si>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</si>
  <si>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</si>
  <si>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</si>
  <si>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</si>
  <si>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</si>
  <si>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</si>
  <si>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</si>
  <si>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</si>
  <si>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</si>
  <si>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</si>
  <si>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</si>
  <si>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</si>
  <si>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</si>
  <si>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</si>
  <si>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</si>
  <si>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</si>
  <si>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</si>
  <si>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</si>
  <si>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</si>
  <si>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</si>
  <si>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</si>
  <si>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</si>
  <si>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</si>
  <si>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</si>
  <si>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</si>
  <si>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</si>
  <si>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</si>
  <si>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</si>
  <si>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</si>
  <si>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</si>
  <si>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</si>
  <si>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</si>
  <si>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</si>
  <si>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</si>
  <si>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</si>
  <si>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</si>
  <si>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</si>
  <si>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</si>
  <si>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</si>
  <si>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</si>
  <si>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</si>
  <si>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</si>
  <si>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</si>
  <si>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</si>
  <si>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</si>
  <si>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</si>
  <si>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</si>
  <si>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</si>
  <si>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</si>
  <si>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</si>
  <si>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</si>
  <si>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</si>
  <si>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</si>
  <si>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</si>
  <si>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</si>
  <si>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</si>
  <si>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</si>
  <si>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</si>
  <si>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</si>
  <si>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</si>
  <si>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</si>
  <si>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</si>
  <si>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</si>
  <si>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</si>
  <si>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</si>
  <si>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</si>
  <si>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</si>
  <si>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</si>
  <si>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</si>
  <si>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</si>
  <si>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</si>
  <si>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</si>
  <si>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</si>
  <si>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</si>
  <si>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</si>
  <si>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</si>
  <si>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</si>
  <si>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</si>
  <si>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</si>
  <si>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</si>
  <si>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</si>
  <si>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</si>
  <si>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</si>
  <si>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</si>
  <si>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</si>
  <si>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</si>
  <si>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</si>
  <si>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</si>
  <si>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</si>
  <si>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</si>
  <si>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</si>
  <si>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</si>
  <si>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</si>
  <si>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</si>
  <si>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</si>
  <si>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</si>
  <si>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</si>
  <si>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</si>
  <si>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</si>
  <si>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</si>
  <si>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</si>
  <si>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</si>
  <si>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</si>
  <si>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</si>
  <si>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</si>
  <si>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</si>
  <si>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</si>
  <si>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</si>
  <si>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</si>
  <si>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</si>
  <si>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</si>
  <si>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</si>
  <si>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</si>
  <si>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</si>
  <si>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</si>
  <si>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</si>
  <si>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</si>
  <si>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</si>
  <si>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</si>
  <si>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</si>
  <si>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</si>
  <si>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</si>
  <si>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</si>
  <si>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</si>
  <si>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</si>
  <si>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</si>
  <si>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</si>
  <si>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</si>
  <si>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</si>
  <si>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</si>
  <si>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</si>
  <si>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</si>
  <si>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</si>
  <si>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</si>
  <si>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</si>
  <si>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</si>
  <si>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</si>
  <si>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</si>
  <si>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</si>
  <si>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</si>
  <si>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</si>
  <si>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</si>
  <si>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</si>
  <si>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</si>
  <si>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</si>
  <si>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</si>
  <si>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</si>
  <si>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</si>
  <si>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</si>
  <si>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</si>
  <si>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</si>
  <si>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</si>
  <si>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</si>
  <si>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</si>
  <si>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</si>
  <si>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</si>
  <si>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</si>
  <si>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</si>
  <si>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</si>
  <si>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</si>
  <si>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</si>
  <si>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</si>
  <si>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</si>
  <si>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</si>
  <si>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</si>
  <si>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</si>
  <si>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</si>
  <si>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</si>
  <si>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</si>
  <si>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</si>
  <si>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</si>
  <si>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</si>
  <si>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</si>
  <si>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</si>
  <si>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</si>
  <si>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</si>
  <si>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</si>
  <si>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</si>
  <si>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</si>
  <si>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</si>
  <si>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</si>
  <si>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</si>
  <si>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</si>
  <si>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</si>
  <si>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</si>
  <si>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</si>
  <si>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</si>
  <si>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</si>
  <si>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</si>
  <si>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</si>
  <si>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</si>
  <si>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</si>
  <si>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</si>
  <si>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</si>
  <si>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</si>
  <si>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</si>
  <si>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</si>
  <si>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</si>
  <si>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</si>
  <si>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</si>
  <si>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</si>
  <si>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</si>
  <si>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</si>
  <si>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</si>
  <si>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</si>
  <si>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</si>
  <si>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</si>
  <si>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</si>
  <si>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</si>
  <si>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</si>
  <si>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</si>
  <si>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</si>
  <si>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</si>
  <si>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</si>
  <si>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</si>
  <si>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</si>
  <si>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</si>
  <si>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</si>
  <si>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</si>
  <si>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</si>
  <si>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</si>
  <si>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</si>
  <si>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</si>
  <si>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</si>
  <si>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</si>
  <si>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</si>
  <si>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</si>
  <si>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</si>
  <si>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</si>
  <si>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</si>
  <si>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</si>
  <si>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</si>
  <si>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</si>
  <si>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</si>
  <si>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</si>
  <si>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</si>
  <si>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</si>
  <si>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</si>
  <si>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</si>
  <si>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</si>
  <si>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</si>
  <si>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</si>
  <si>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</si>
  <si>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</si>
  <si>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</si>
  <si>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</si>
  <si>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</si>
  <si>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</si>
  <si>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</si>
  <si>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</si>
  <si>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</si>
  <si>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</si>
  <si>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>August</t>
  </si>
  <si>
    <t xml:space="preserve">Jun. 2024 </t>
  </si>
  <si>
    <t>2024/25 9/</t>
  </si>
  <si>
    <t>7/ Long-grain, free on board vessel, Ho Chi Minh City, Vietnam. The July 2024 starts price reporting for the 2024 summer-autumn crop.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</si>
  <si>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</si>
  <si>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</si>
  <si>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</si>
  <si>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</si>
  <si>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</si>
  <si>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</si>
  <si>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</si>
  <si>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>*</t>
  </si>
  <si>
    <t xml:space="preserve">October 2024 Rice Outlook Tables </t>
  </si>
  <si>
    <t>Updated October 11, 2024.</t>
  </si>
  <si>
    <t>Oct. 2024 9/</t>
  </si>
  <si>
    <t>Sept. 2024 8/</t>
  </si>
  <si>
    <t xml:space="preserve">Aug. 2024 </t>
  </si>
  <si>
    <t>October 3 2/</t>
  </si>
  <si>
    <t>October 4 2/</t>
  </si>
  <si>
    <t>October 4  2/</t>
  </si>
  <si>
    <t>through</t>
  </si>
  <si>
    <t xml:space="preserve">                   2024/25</t>
  </si>
  <si>
    <t>October 3/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</si>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</sst>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1" sqref="G51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22" t="s">
        <v>476</v>
      </c>
      <c r="B1" s="723"/>
      <c r="C1" s="723"/>
      <c r="D1" s="723"/>
      <c r="E1" s="318"/>
      <c r="F1" s="318"/>
      <c r="G1" s="318"/>
      <c r="H1" s="319"/>
    </row>
    <row r="2" spans="1:14" ht="12" customHeight="1" x14ac:dyDescent="0.2">
      <c r="A2" s="724"/>
      <c r="B2" s="725"/>
      <c r="C2" s="725"/>
      <c r="D2" s="725"/>
      <c r="E2" s="452"/>
      <c r="F2" s="452"/>
      <c r="G2" s="452"/>
      <c r="H2" s="320"/>
    </row>
    <row r="3" spans="1:14" ht="12" customHeight="1" x14ac:dyDescent="0.2">
      <c r="A3" s="724"/>
      <c r="B3" s="725"/>
      <c r="C3" s="725"/>
      <c r="D3" s="725"/>
      <c r="E3" s="452"/>
      <c r="F3" s="452"/>
      <c r="G3" s="452"/>
      <c r="H3" s="320"/>
    </row>
    <row r="4" spans="1:14" x14ac:dyDescent="0.2">
      <c r="A4" s="321"/>
      <c r="B4" s="453"/>
      <c r="C4" s="453"/>
      <c r="D4" s="453"/>
      <c r="E4" s="453"/>
      <c r="F4" s="453"/>
      <c r="G4" s="453"/>
      <c r="H4" s="322"/>
    </row>
    <row r="5" spans="1:14" x14ac:dyDescent="0.2">
      <c r="A5" s="323" t="s">
        <v>313</v>
      </c>
      <c r="B5" s="7"/>
      <c r="C5" s="7"/>
      <c r="D5" s="7"/>
      <c r="E5" s="7"/>
      <c r="F5" s="7"/>
      <c r="G5" s="7"/>
      <c r="H5" s="324"/>
    </row>
    <row r="6" spans="1:14" x14ac:dyDescent="0.2">
      <c r="A6" s="325" t="s">
        <v>0</v>
      </c>
      <c r="B6" s="427" t="s">
        <v>245</v>
      </c>
      <c r="C6" s="427" t="s">
        <v>248</v>
      </c>
      <c r="D6" s="427" t="s">
        <v>252</v>
      </c>
      <c r="E6" s="427" t="s">
        <v>286</v>
      </c>
      <c r="F6" s="427" t="s">
        <v>334</v>
      </c>
      <c r="G6" s="427" t="s">
        <v>374</v>
      </c>
      <c r="H6" s="326" t="s">
        <v>444</v>
      </c>
    </row>
    <row r="7" spans="1:14" ht="17.25" customHeight="1" thickBot="1" x14ac:dyDescent="0.25">
      <c r="A7" s="327"/>
      <c r="B7" s="187"/>
      <c r="C7" s="187"/>
      <c r="D7" s="188"/>
      <c r="E7" s="188"/>
      <c r="F7" s="188"/>
      <c r="G7" s="188"/>
      <c r="H7" s="328" t="s">
        <v>24</v>
      </c>
    </row>
    <row r="8" spans="1:14" ht="12.6" x14ac:dyDescent="0.25">
      <c r="A8" s="432" t="s">
        <v>2</v>
      </c>
      <c r="B8" s="436"/>
      <c r="C8" s="437"/>
      <c r="E8" s="437" t="s">
        <v>18</v>
      </c>
      <c r="F8" s="438"/>
      <c r="G8" s="438"/>
      <c r="H8" s="439"/>
    </row>
    <row r="9" spans="1:14" x14ac:dyDescent="0.2">
      <c r="A9" s="433" t="s">
        <v>23</v>
      </c>
      <c r="B9" s="440"/>
      <c r="C9" s="4"/>
      <c r="D9" s="4"/>
      <c r="E9" s="4"/>
      <c r="F9" s="4"/>
      <c r="G9" s="4"/>
      <c r="H9" s="329"/>
    </row>
    <row r="10" spans="1:14" x14ac:dyDescent="0.2">
      <c r="A10" s="433" t="s">
        <v>3</v>
      </c>
      <c r="B10" s="441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30">
        <v>2.94</v>
      </c>
    </row>
    <row r="11" spans="1:14" x14ac:dyDescent="0.2">
      <c r="A11" s="433" t="s">
        <v>4</v>
      </c>
      <c r="B11" s="441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30">
        <v>2.8959999999999999</v>
      </c>
    </row>
    <row r="12" spans="1:14" x14ac:dyDescent="0.2">
      <c r="A12" s="433" t="s">
        <v>1</v>
      </c>
      <c r="B12" s="440"/>
      <c r="C12" s="4"/>
      <c r="D12" s="4"/>
      <c r="E12" s="4"/>
      <c r="F12" s="4"/>
      <c r="G12" s="4"/>
      <c r="H12" s="329"/>
      <c r="N12" s="185"/>
    </row>
    <row r="13" spans="1:14" x14ac:dyDescent="0.2">
      <c r="A13" s="433" t="s">
        <v>1</v>
      </c>
      <c r="B13" s="542"/>
      <c r="C13" s="542"/>
      <c r="E13" s="442" t="s">
        <v>19</v>
      </c>
      <c r="F13" s="4"/>
      <c r="G13" s="4"/>
      <c r="H13" s="329"/>
    </row>
    <row r="14" spans="1:14" x14ac:dyDescent="0.2">
      <c r="A14" s="433" t="s">
        <v>1</v>
      </c>
      <c r="B14" s="440"/>
      <c r="C14" s="4"/>
      <c r="D14" s="4"/>
      <c r="E14" s="4"/>
      <c r="F14" s="4"/>
      <c r="G14" s="4"/>
      <c r="H14" s="329"/>
    </row>
    <row r="15" spans="1:14" x14ac:dyDescent="0.2">
      <c r="A15" s="433" t="s">
        <v>5</v>
      </c>
      <c r="B15" s="443">
        <v>7692</v>
      </c>
      <c r="C15" s="331">
        <f t="shared" ref="C15:H15" si="0">C20/C11*100</f>
        <v>7473.7777777777783</v>
      </c>
      <c r="D15" s="331">
        <f t="shared" si="0"/>
        <v>7620.0134318334449</v>
      </c>
      <c r="E15" s="331">
        <f t="shared" si="0"/>
        <v>7709.9273607748173</v>
      </c>
      <c r="F15" s="331">
        <f t="shared" si="0"/>
        <v>7385.371481310568</v>
      </c>
      <c r="G15" s="331">
        <f t="shared" si="0"/>
        <v>7648.5984583041345</v>
      </c>
      <c r="H15" s="332">
        <f t="shared" si="0"/>
        <v>7590.1933701657472</v>
      </c>
    </row>
    <row r="16" spans="1:14" x14ac:dyDescent="0.2">
      <c r="A16" s="433" t="s">
        <v>1</v>
      </c>
      <c r="B16" s="440"/>
      <c r="C16" s="4"/>
      <c r="D16" s="4"/>
      <c r="E16" s="4"/>
      <c r="F16" s="428"/>
      <c r="G16" s="428"/>
      <c r="H16" s="333"/>
    </row>
    <row r="17" spans="1:8" x14ac:dyDescent="0.2">
      <c r="A17" s="433" t="s">
        <v>1</v>
      </c>
      <c r="B17" s="444"/>
      <c r="C17" s="445"/>
      <c r="E17" s="445" t="s">
        <v>20</v>
      </c>
      <c r="F17" s="4"/>
      <c r="G17" s="4"/>
      <c r="H17" s="329"/>
    </row>
    <row r="18" spans="1:8" x14ac:dyDescent="0.2">
      <c r="A18" s="433" t="s">
        <v>1</v>
      </c>
      <c r="B18" s="440"/>
      <c r="C18" s="4"/>
      <c r="D18" s="4"/>
      <c r="E18" s="4"/>
      <c r="F18" s="4"/>
      <c r="G18" s="4"/>
      <c r="H18" s="329"/>
    </row>
    <row r="19" spans="1:8" x14ac:dyDescent="0.2">
      <c r="A19" s="433" t="s">
        <v>6</v>
      </c>
      <c r="B19" s="446">
        <v>29.381</v>
      </c>
      <c r="C19" s="429">
        <f t="shared" ref="C19:G19" si="1">B35</f>
        <v>44.850999999999999</v>
      </c>
      <c r="D19" s="429">
        <f t="shared" si="1"/>
        <v>28.661999999999999</v>
      </c>
      <c r="E19" s="429">
        <f t="shared" si="1"/>
        <v>43.676000000000016</v>
      </c>
      <c r="F19" s="429">
        <f t="shared" si="1"/>
        <v>39.72399999999999</v>
      </c>
      <c r="G19" s="429">
        <f t="shared" si="1"/>
        <v>30.256</v>
      </c>
      <c r="H19" s="334">
        <f>G35</f>
        <v>39.353000000000002</v>
      </c>
    </row>
    <row r="20" spans="1:8" x14ac:dyDescent="0.2">
      <c r="A20" s="433" t="s">
        <v>7</v>
      </c>
      <c r="B20" s="446">
        <v>223.761</v>
      </c>
      <c r="C20" s="429">
        <v>184.976</v>
      </c>
      <c r="D20" s="429">
        <v>226.92400000000001</v>
      </c>
      <c r="E20" s="429">
        <v>191.05199999999999</v>
      </c>
      <c r="F20" s="429">
        <v>160.041</v>
      </c>
      <c r="G20" s="429">
        <v>218.291</v>
      </c>
      <c r="H20" s="334">
        <v>219.81200000000001</v>
      </c>
    </row>
    <row r="21" spans="1:8" x14ac:dyDescent="0.2">
      <c r="A21" s="433" t="s">
        <v>8</v>
      </c>
      <c r="B21" s="446">
        <v>28.984999999999999</v>
      </c>
      <c r="C21" s="429">
        <v>37.348999999999997</v>
      </c>
      <c r="D21" s="429">
        <v>34.073</v>
      </c>
      <c r="E21" s="429">
        <v>37.770000000000003</v>
      </c>
      <c r="F21" s="429">
        <v>39.889000000000003</v>
      </c>
      <c r="G21" s="429">
        <v>44.585999999999999</v>
      </c>
      <c r="H21" s="334">
        <v>46.5</v>
      </c>
    </row>
    <row r="22" spans="1:8" x14ac:dyDescent="0.2">
      <c r="A22" s="433" t="s">
        <v>9</v>
      </c>
      <c r="B22" s="446">
        <f t="shared" ref="B22:E22" si="2">B19+B20+B21</f>
        <v>282.12700000000001</v>
      </c>
      <c r="C22" s="429">
        <f t="shared" si="2"/>
        <v>267.17599999999999</v>
      </c>
      <c r="D22" s="429">
        <f t="shared" si="2"/>
        <v>289.65899999999999</v>
      </c>
      <c r="E22" s="429">
        <f t="shared" si="2"/>
        <v>272.49799999999999</v>
      </c>
      <c r="F22" s="429">
        <f>F19+F20+F21</f>
        <v>239.654</v>
      </c>
      <c r="G22" s="429">
        <f>G19+G20+G21</f>
        <v>293.13299999999998</v>
      </c>
      <c r="H22" s="334">
        <f>H19+H20+H21</f>
        <v>305.66500000000002</v>
      </c>
    </row>
    <row r="23" spans="1:8" x14ac:dyDescent="0.2">
      <c r="A23" s="433" t="s">
        <v>1</v>
      </c>
      <c r="B23" s="446"/>
      <c r="C23" s="429"/>
      <c r="D23" s="429"/>
      <c r="E23" s="429"/>
      <c r="F23" s="429"/>
      <c r="G23" s="429"/>
      <c r="H23" s="334"/>
    </row>
    <row r="24" spans="1:8" x14ac:dyDescent="0.2">
      <c r="A24" s="433" t="s">
        <v>10</v>
      </c>
      <c r="B24" s="446"/>
      <c r="C24" s="429"/>
      <c r="D24" s="429"/>
      <c r="E24" s="429"/>
      <c r="F24" s="429"/>
      <c r="G24" s="429"/>
      <c r="H24" s="334"/>
    </row>
    <row r="25" spans="1:8" x14ac:dyDescent="0.2">
      <c r="A25" s="433" t="s">
        <v>433</v>
      </c>
      <c r="B25" s="446">
        <f t="shared" ref="B25:G25" si="3">B27-B26</f>
        <v>142.077</v>
      </c>
      <c r="C25" s="429">
        <f t="shared" si="3"/>
        <v>141.91599999999997</v>
      </c>
      <c r="D25" s="429">
        <f t="shared" si="3"/>
        <v>150.47699999999998</v>
      </c>
      <c r="E25" s="429">
        <f t="shared" si="3"/>
        <v>147.49699999999999</v>
      </c>
      <c r="F25" s="429">
        <f t="shared" si="3"/>
        <v>142.44999999999999</v>
      </c>
      <c r="G25" s="429">
        <f t="shared" si="3"/>
        <v>153.28899999999999</v>
      </c>
      <c r="H25" s="334" t="s">
        <v>26</v>
      </c>
    </row>
    <row r="26" spans="1:8" x14ac:dyDescent="0.2">
      <c r="A26" s="433" t="s">
        <v>11</v>
      </c>
      <c r="B26" s="446">
        <v>2</v>
      </c>
      <c r="C26" s="429">
        <v>2.4</v>
      </c>
      <c r="D26" s="429">
        <v>2</v>
      </c>
      <c r="E26" s="429">
        <v>1.8</v>
      </c>
      <c r="F26" s="429">
        <v>2.2999999999999998</v>
      </c>
      <c r="G26" s="429">
        <v>2.4</v>
      </c>
      <c r="H26" s="334" t="s">
        <v>26</v>
      </c>
    </row>
    <row r="27" spans="1:8" x14ac:dyDescent="0.2">
      <c r="A27" s="434" t="s">
        <v>12</v>
      </c>
      <c r="B27" s="446">
        <v>144.077</v>
      </c>
      <c r="C27" s="429">
        <v>144.31599999999997</v>
      </c>
      <c r="D27" s="429">
        <v>152.47699999999998</v>
      </c>
      <c r="E27" s="429">
        <v>149.297</v>
      </c>
      <c r="F27" s="429">
        <v>144.75</v>
      </c>
      <c r="G27" s="429">
        <v>155.68899999999999</v>
      </c>
      <c r="H27" s="334">
        <v>159</v>
      </c>
    </row>
    <row r="28" spans="1:8" x14ac:dyDescent="0.2">
      <c r="A28" s="433" t="s">
        <v>1</v>
      </c>
      <c r="B28" s="446"/>
      <c r="C28" s="429"/>
      <c r="D28" s="429"/>
      <c r="E28" s="429"/>
      <c r="F28" s="429"/>
      <c r="G28" s="429"/>
      <c r="H28" s="334"/>
    </row>
    <row r="29" spans="1:8" x14ac:dyDescent="0.2">
      <c r="A29" s="433" t="s">
        <v>13</v>
      </c>
      <c r="B29" s="446">
        <v>93.198999999999998</v>
      </c>
      <c r="C29" s="429">
        <v>94.197999999999993</v>
      </c>
      <c r="D29" s="429">
        <v>93.506</v>
      </c>
      <c r="E29" s="429">
        <v>83.477000000000004</v>
      </c>
      <c r="F29" s="429">
        <v>64.647999999999996</v>
      </c>
      <c r="G29" s="429">
        <v>98.090999999999994</v>
      </c>
      <c r="H29" s="334">
        <v>101</v>
      </c>
    </row>
    <row r="30" spans="1:8" x14ac:dyDescent="0.2">
      <c r="A30" s="433" t="s">
        <v>14</v>
      </c>
      <c r="B30" s="446">
        <v>33.253</v>
      </c>
      <c r="C30" s="429">
        <v>31.344999999999999</v>
      </c>
      <c r="D30" s="429">
        <v>34.619</v>
      </c>
      <c r="E30" s="429">
        <v>28.166</v>
      </c>
      <c r="F30" s="429">
        <v>18.452000000000002</v>
      </c>
      <c r="G30" s="429">
        <v>41.673000000000002</v>
      </c>
      <c r="H30" s="334">
        <v>44</v>
      </c>
    </row>
    <row r="31" spans="1:8" x14ac:dyDescent="0.2">
      <c r="A31" s="433" t="s">
        <v>393</v>
      </c>
      <c r="B31" s="446">
        <v>59.945999999999998</v>
      </c>
      <c r="C31" s="429">
        <v>62.853000000000002</v>
      </c>
      <c r="D31" s="429">
        <v>58.887</v>
      </c>
      <c r="E31" s="429">
        <v>55.311</v>
      </c>
      <c r="F31" s="429">
        <v>46.195999999999998</v>
      </c>
      <c r="G31" s="429">
        <v>56.417999999999999</v>
      </c>
      <c r="H31" s="334">
        <v>57</v>
      </c>
    </row>
    <row r="32" spans="1:8" x14ac:dyDescent="0.2">
      <c r="A32" s="321"/>
      <c r="B32" s="446"/>
      <c r="C32" s="429"/>
      <c r="D32" s="429"/>
      <c r="E32" s="429"/>
      <c r="F32" s="429"/>
      <c r="G32" s="429"/>
      <c r="H32" s="334"/>
    </row>
    <row r="33" spans="1:8" x14ac:dyDescent="0.2">
      <c r="A33" s="433" t="s">
        <v>15</v>
      </c>
      <c r="B33" s="446">
        <f t="shared" ref="B33:G33" si="4">B27+B29</f>
        <v>237.27600000000001</v>
      </c>
      <c r="C33" s="429">
        <f t="shared" si="4"/>
        <v>238.51399999999995</v>
      </c>
      <c r="D33" s="429">
        <f t="shared" si="4"/>
        <v>245.98299999999998</v>
      </c>
      <c r="E33" s="429">
        <f t="shared" si="4"/>
        <v>232.774</v>
      </c>
      <c r="F33" s="429">
        <f t="shared" si="4"/>
        <v>209.398</v>
      </c>
      <c r="G33" s="429">
        <f t="shared" si="4"/>
        <v>253.77999999999997</v>
      </c>
      <c r="H33" s="334">
        <f t="shared" ref="H33" si="5">H27+H29</f>
        <v>260</v>
      </c>
    </row>
    <row r="34" spans="1:8" x14ac:dyDescent="0.2">
      <c r="A34" s="433" t="s">
        <v>1</v>
      </c>
      <c r="B34" s="446"/>
      <c r="C34" s="429"/>
      <c r="D34" s="429"/>
      <c r="E34" s="429"/>
      <c r="F34" s="429"/>
      <c r="G34" s="429"/>
      <c r="H34" s="334"/>
    </row>
    <row r="35" spans="1:8" x14ac:dyDescent="0.2">
      <c r="A35" s="433" t="s">
        <v>16</v>
      </c>
      <c r="B35" s="446">
        <v>44.850999999999999</v>
      </c>
      <c r="C35" s="429">
        <v>28.661999999999999</v>
      </c>
      <c r="D35" s="429">
        <f>D22-D33</f>
        <v>43.676000000000016</v>
      </c>
      <c r="E35" s="429">
        <f>E22-E33</f>
        <v>39.72399999999999</v>
      </c>
      <c r="F35" s="429">
        <f>F22-F33</f>
        <v>30.256</v>
      </c>
      <c r="G35" s="429">
        <v>39.353000000000002</v>
      </c>
      <c r="H35" s="334">
        <f>H22-H33</f>
        <v>45.66500000000002</v>
      </c>
    </row>
    <row r="36" spans="1:8" x14ac:dyDescent="0.2">
      <c r="A36" s="321"/>
      <c r="B36" s="446"/>
      <c r="C36" s="429"/>
      <c r="D36" s="429"/>
      <c r="E36" s="429"/>
      <c r="F36" s="429"/>
      <c r="G36" s="429"/>
      <c r="H36" s="334"/>
    </row>
    <row r="37" spans="1:8" x14ac:dyDescent="0.2">
      <c r="A37" s="433" t="s">
        <v>1</v>
      </c>
      <c r="B37" s="444"/>
      <c r="C37" s="445"/>
      <c r="E37" s="445" t="s">
        <v>21</v>
      </c>
      <c r="F37" s="4"/>
      <c r="G37" s="4"/>
      <c r="H37" s="329"/>
    </row>
    <row r="38" spans="1:8" x14ac:dyDescent="0.2">
      <c r="A38" s="433" t="s">
        <v>1</v>
      </c>
      <c r="B38" s="440"/>
      <c r="C38" s="4"/>
      <c r="D38" s="4"/>
      <c r="E38" s="4"/>
      <c r="F38" s="4"/>
      <c r="G38" s="4"/>
      <c r="H38" s="329"/>
    </row>
    <row r="39" spans="1:8" x14ac:dyDescent="0.2">
      <c r="A39" s="434" t="s">
        <v>17</v>
      </c>
      <c r="B39" s="447">
        <f t="shared" ref="B39:F39" si="6">B35/B33*100</f>
        <v>18.902459582932956</v>
      </c>
      <c r="C39" s="430">
        <f t="shared" si="6"/>
        <v>12.016904668069801</v>
      </c>
      <c r="D39" s="430">
        <f t="shared" si="6"/>
        <v>17.755698564534956</v>
      </c>
      <c r="E39" s="430">
        <f t="shared" si="6"/>
        <v>17.065479821629559</v>
      </c>
      <c r="F39" s="430">
        <f t="shared" si="6"/>
        <v>14.449039627885654</v>
      </c>
      <c r="G39" s="430">
        <f t="shared" ref="G39:H39" si="7">G35/G33*100</f>
        <v>15.506738119631178</v>
      </c>
      <c r="H39" s="335">
        <f t="shared" si="7"/>
        <v>17.563461538461546</v>
      </c>
    </row>
    <row r="40" spans="1:8" x14ac:dyDescent="0.2">
      <c r="A40" s="321"/>
      <c r="B40" s="440"/>
      <c r="C40" s="4"/>
      <c r="D40" s="4"/>
      <c r="E40" s="4"/>
      <c r="F40" s="4"/>
      <c r="G40" s="4"/>
      <c r="H40" s="329"/>
    </row>
    <row r="41" spans="1:8" x14ac:dyDescent="0.2">
      <c r="A41" s="321"/>
      <c r="B41" s="448"/>
      <c r="C41" s="449"/>
      <c r="E41" s="449" t="s">
        <v>421</v>
      </c>
      <c r="F41" s="4"/>
      <c r="G41" s="4"/>
      <c r="H41" s="329"/>
    </row>
    <row r="42" spans="1:8" x14ac:dyDescent="0.2">
      <c r="A42" s="433" t="s">
        <v>394</v>
      </c>
      <c r="B42" s="450"/>
      <c r="C42" s="431"/>
      <c r="D42" s="431"/>
      <c r="E42" s="431"/>
      <c r="F42" s="431"/>
      <c r="G42" s="431"/>
      <c r="H42" s="336"/>
    </row>
    <row r="43" spans="1:8" x14ac:dyDescent="0.2">
      <c r="A43" s="433" t="s">
        <v>428</v>
      </c>
      <c r="B43" s="450">
        <v>12.6</v>
      </c>
      <c r="C43" s="431">
        <v>13.6</v>
      </c>
      <c r="D43" s="431">
        <v>14.4</v>
      </c>
      <c r="E43" s="431">
        <v>16.100000000000001</v>
      </c>
      <c r="F43" s="431">
        <v>19.8</v>
      </c>
      <c r="G43" s="431">
        <v>17.600000000000001</v>
      </c>
      <c r="H43" s="336">
        <v>15.6</v>
      </c>
    </row>
    <row r="44" spans="1:8" x14ac:dyDescent="0.2">
      <c r="A44" s="433" t="s">
        <v>1</v>
      </c>
      <c r="B44" s="440"/>
      <c r="C44" s="4"/>
      <c r="D44" s="4"/>
      <c r="E44" s="4"/>
      <c r="F44" s="4"/>
      <c r="G44" s="4"/>
      <c r="H44" s="329"/>
    </row>
    <row r="45" spans="1:8" x14ac:dyDescent="0.2">
      <c r="A45" s="321"/>
      <c r="B45" s="444"/>
      <c r="C45" s="445"/>
      <c r="E45" s="445" t="s">
        <v>21</v>
      </c>
      <c r="F45" s="4"/>
      <c r="G45" s="4"/>
      <c r="H45" s="329"/>
    </row>
    <row r="46" spans="1:8" x14ac:dyDescent="0.2">
      <c r="A46" s="433"/>
      <c r="B46" s="440"/>
      <c r="C46" s="4"/>
      <c r="D46" s="4"/>
      <c r="E46" s="4"/>
      <c r="F46" s="4"/>
      <c r="G46" s="4"/>
      <c r="H46" s="329"/>
    </row>
    <row r="47" spans="1:8" ht="20.25" customHeight="1" thickBot="1" x14ac:dyDescent="0.25">
      <c r="A47" s="435" t="s">
        <v>395</v>
      </c>
      <c r="B47" s="451">
        <v>70</v>
      </c>
      <c r="C47" s="337">
        <v>70</v>
      </c>
      <c r="D47" s="337">
        <v>70</v>
      </c>
      <c r="E47" s="337">
        <v>70</v>
      </c>
      <c r="F47" s="337">
        <v>70</v>
      </c>
      <c r="G47" s="337">
        <v>70</v>
      </c>
      <c r="H47" s="338">
        <v>70</v>
      </c>
    </row>
    <row r="48" spans="1:8" x14ac:dyDescent="0.2">
      <c r="A48" s="6" t="s">
        <v>392</v>
      </c>
      <c r="B48" s="4"/>
      <c r="C48" s="4"/>
      <c r="D48" s="4"/>
      <c r="E48" s="5"/>
      <c r="F48" s="186"/>
      <c r="G48" s="186"/>
      <c r="H48" s="186"/>
    </row>
    <row r="49" spans="1:8" x14ac:dyDescent="0.2">
      <c r="A49" s="6" t="s">
        <v>330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307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477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4" sqref="A74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05" t="s">
        <v>314</v>
      </c>
      <c r="B1" s="506"/>
      <c r="C1" s="506"/>
      <c r="D1" s="506"/>
      <c r="E1" s="506"/>
      <c r="F1" s="506"/>
      <c r="G1" s="507"/>
      <c r="H1" s="531"/>
    </row>
    <row r="2" spans="1:10" ht="17.25" customHeight="1" x14ac:dyDescent="0.2">
      <c r="A2" s="654" t="s">
        <v>0</v>
      </c>
      <c r="B2" s="655" t="s">
        <v>245</v>
      </c>
      <c r="C2" s="655" t="s">
        <v>248</v>
      </c>
      <c r="D2" s="655" t="s">
        <v>252</v>
      </c>
      <c r="E2" s="655" t="s">
        <v>286</v>
      </c>
      <c r="F2" s="655" t="s">
        <v>334</v>
      </c>
      <c r="G2" s="656" t="s">
        <v>374</v>
      </c>
      <c r="H2" s="657" t="s">
        <v>444</v>
      </c>
    </row>
    <row r="3" spans="1:10" ht="15" customHeight="1" x14ac:dyDescent="0.2">
      <c r="A3" s="658"/>
      <c r="B3" s="659"/>
      <c r="C3" s="659"/>
      <c r="D3" s="659"/>
      <c r="E3" s="659"/>
      <c r="F3" s="659"/>
      <c r="G3" s="660"/>
      <c r="H3" s="661" t="s">
        <v>335</v>
      </c>
    </row>
    <row r="4" spans="1:10" ht="13.65" customHeight="1" x14ac:dyDescent="0.2">
      <c r="A4" s="509" t="s">
        <v>435</v>
      </c>
      <c r="F4" s="510"/>
      <c r="G4" s="9"/>
      <c r="H4" s="508"/>
    </row>
    <row r="5" spans="1:10" ht="12" customHeight="1" x14ac:dyDescent="0.2">
      <c r="A5" s="509" t="s">
        <v>1</v>
      </c>
      <c r="B5" s="153"/>
      <c r="C5" s="153"/>
      <c r="E5" s="153" t="s">
        <v>18</v>
      </c>
      <c r="F5" s="510"/>
      <c r="G5" s="9"/>
      <c r="H5" s="508"/>
      <c r="J5" s="10"/>
    </row>
    <row r="6" spans="1:10" ht="13.2" customHeight="1" x14ac:dyDescent="0.2">
      <c r="A6" s="511"/>
      <c r="F6" s="510"/>
      <c r="G6" s="9"/>
      <c r="H6" s="508"/>
      <c r="J6" s="10"/>
    </row>
    <row r="7" spans="1:10" ht="13.65" customHeight="1" x14ac:dyDescent="0.2">
      <c r="A7" s="509" t="s">
        <v>3</v>
      </c>
      <c r="B7" s="495">
        <v>2.1960000000000002</v>
      </c>
      <c r="C7" s="495">
        <v>1.786</v>
      </c>
      <c r="D7" s="495">
        <v>2.331</v>
      </c>
      <c r="E7" s="495">
        <v>1.968</v>
      </c>
      <c r="F7" s="495">
        <v>1.806</v>
      </c>
      <c r="G7" s="495">
        <v>2.0630000000000002</v>
      </c>
      <c r="H7" s="512" t="s">
        <v>290</v>
      </c>
      <c r="J7" s="10"/>
    </row>
    <row r="8" spans="1:10" ht="13.65" customHeight="1" x14ac:dyDescent="0.2">
      <c r="A8" s="509" t="s">
        <v>4</v>
      </c>
      <c r="B8" s="495">
        <v>2.1739999999999999</v>
      </c>
      <c r="C8" s="495">
        <v>1.73</v>
      </c>
      <c r="D8" s="495">
        <v>2.2949999999999999</v>
      </c>
      <c r="E8" s="495">
        <v>1.927</v>
      </c>
      <c r="F8" s="495">
        <v>1.778</v>
      </c>
      <c r="G8" s="495">
        <v>2.0449999999999999</v>
      </c>
      <c r="H8" s="512" t="s">
        <v>290</v>
      </c>
    </row>
    <row r="9" spans="1:10" ht="11.4" customHeight="1" x14ac:dyDescent="0.2">
      <c r="A9" s="509" t="s">
        <v>1</v>
      </c>
      <c r="B9" s="496"/>
      <c r="C9" s="496"/>
      <c r="D9" s="496"/>
      <c r="E9" s="496"/>
      <c r="F9" s="496"/>
      <c r="G9" s="496"/>
      <c r="H9" s="513"/>
    </row>
    <row r="10" spans="1:10" ht="13.65" customHeight="1" x14ac:dyDescent="0.2">
      <c r="A10" s="509" t="s">
        <v>1</v>
      </c>
      <c r="B10" s="514"/>
      <c r="C10" s="514"/>
      <c r="E10" s="514" t="s">
        <v>19</v>
      </c>
      <c r="F10" s="496"/>
      <c r="G10" s="496"/>
      <c r="H10" s="513"/>
      <c r="J10" s="10"/>
    </row>
    <row r="11" spans="1:10" ht="10.95" customHeight="1" x14ac:dyDescent="0.2">
      <c r="A11" s="511"/>
      <c r="B11" s="496"/>
      <c r="C11" s="496"/>
      <c r="D11" s="496"/>
      <c r="E11" s="496"/>
      <c r="F11" s="496"/>
      <c r="G11" s="496"/>
      <c r="H11" s="513"/>
      <c r="J11" s="10"/>
    </row>
    <row r="12" spans="1:10" ht="12.75" customHeight="1" x14ac:dyDescent="0.2">
      <c r="A12" s="509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12" t="s">
        <v>290</v>
      </c>
    </row>
    <row r="13" spans="1:10" ht="10.199999999999999" customHeight="1" x14ac:dyDescent="0.2">
      <c r="A13" s="511"/>
      <c r="G13" s="9"/>
      <c r="H13" s="508"/>
    </row>
    <row r="14" spans="1:10" ht="13.65" customHeight="1" x14ac:dyDescent="0.2">
      <c r="A14" s="509" t="s">
        <v>1</v>
      </c>
      <c r="B14" s="514"/>
      <c r="C14" s="514"/>
      <c r="E14" s="514" t="s">
        <v>20</v>
      </c>
      <c r="G14" s="9"/>
      <c r="H14" s="508"/>
    </row>
    <row r="15" spans="1:10" ht="11.4" customHeight="1" x14ac:dyDescent="0.2">
      <c r="A15" s="509" t="s">
        <v>1</v>
      </c>
      <c r="G15" s="9"/>
      <c r="H15" s="508"/>
    </row>
    <row r="16" spans="1:10" ht="13.65" customHeight="1" x14ac:dyDescent="0.2">
      <c r="A16" s="509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08">
        <f t="shared" ref="H16" si="5">G25</f>
        <v>19.318000000000001</v>
      </c>
      <c r="J16" s="10"/>
    </row>
    <row r="17" spans="1:10" ht="13.65" customHeight="1" x14ac:dyDescent="0.2">
      <c r="A17" s="509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97">
        <v>128.46100000000001</v>
      </c>
      <c r="G17" s="497">
        <v>153.87100000000001</v>
      </c>
      <c r="H17" s="515">
        <v>166.80799999999999</v>
      </c>
      <c r="J17" s="10"/>
    </row>
    <row r="18" spans="1:10" ht="13.65" customHeight="1" x14ac:dyDescent="0.2">
      <c r="A18" s="509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08">
        <v>39</v>
      </c>
      <c r="J18" s="10"/>
    </row>
    <row r="19" spans="1:10" ht="13.65" customHeight="1" x14ac:dyDescent="0.2">
      <c r="A19" s="509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212.35300000000001</v>
      </c>
      <c r="H19" s="508">
        <f t="shared" si="7"/>
        <v>225.126</v>
      </c>
    </row>
    <row r="20" spans="1:10" ht="7.2" customHeight="1" x14ac:dyDescent="0.2">
      <c r="A20" s="509" t="s">
        <v>1</v>
      </c>
      <c r="G20" s="9"/>
      <c r="H20" s="508"/>
      <c r="J20" s="10"/>
    </row>
    <row r="21" spans="1:10" ht="13.65" customHeight="1" x14ac:dyDescent="0.2">
      <c r="A21" s="509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118.29200000000002</v>
      </c>
      <c r="H21" s="508">
        <v>122</v>
      </c>
      <c r="J21" s="10"/>
    </row>
    <row r="22" spans="1:10" ht="13.65" customHeight="1" x14ac:dyDescent="0.2">
      <c r="A22" s="509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08">
        <v>76</v>
      </c>
      <c r="J22" s="10"/>
    </row>
    <row r="23" spans="1:10" ht="13.65" customHeight="1" x14ac:dyDescent="0.2">
      <c r="A23" s="509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193.03500000000003</v>
      </c>
      <c r="H23" s="508">
        <f t="shared" si="9"/>
        <v>198</v>
      </c>
    </row>
    <row r="24" spans="1:10" ht="6" customHeight="1" x14ac:dyDescent="0.2">
      <c r="A24" s="509" t="s">
        <v>1</v>
      </c>
      <c r="G24" s="9"/>
      <c r="H24" s="508"/>
      <c r="J24" s="10"/>
    </row>
    <row r="25" spans="1:10" ht="13.65" customHeight="1" x14ac:dyDescent="0.2">
      <c r="A25" s="509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08">
        <f>H19-H23</f>
        <v>27.126000000000005</v>
      </c>
    </row>
    <row r="26" spans="1:10" ht="6.75" customHeight="1" x14ac:dyDescent="0.2">
      <c r="A26" s="509" t="s">
        <v>1</v>
      </c>
      <c r="G26" s="9"/>
      <c r="H26" s="508"/>
    </row>
    <row r="27" spans="1:10" ht="13.65" customHeight="1" x14ac:dyDescent="0.2">
      <c r="A27" s="509" t="s">
        <v>1</v>
      </c>
      <c r="B27" s="514"/>
      <c r="C27" s="514"/>
      <c r="E27" s="514" t="s">
        <v>21</v>
      </c>
      <c r="G27" s="9"/>
      <c r="H27" s="508"/>
      <c r="J27" s="10"/>
    </row>
    <row r="28" spans="1:10" ht="6" customHeight="1" x14ac:dyDescent="0.2">
      <c r="A28" s="511"/>
      <c r="G28" s="9"/>
      <c r="H28" s="508"/>
      <c r="J28" s="10"/>
    </row>
    <row r="29" spans="1:10" ht="13.65" customHeight="1" x14ac:dyDescent="0.2">
      <c r="A29" s="516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10.007511591162224</v>
      </c>
      <c r="H29" s="517">
        <f t="shared" si="11"/>
        <v>13.700000000000001</v>
      </c>
    </row>
    <row r="30" spans="1:10" ht="7.5" customHeight="1" x14ac:dyDescent="0.2">
      <c r="A30" s="509"/>
      <c r="G30" s="9"/>
      <c r="H30" s="508"/>
    </row>
    <row r="31" spans="1:10" ht="12" customHeight="1" x14ac:dyDescent="0.2">
      <c r="A31" s="509"/>
      <c r="B31" s="518"/>
      <c r="C31" s="518"/>
      <c r="E31" s="518" t="s">
        <v>434</v>
      </c>
      <c r="G31" s="9"/>
      <c r="H31" s="508"/>
    </row>
    <row r="32" spans="1:10" ht="11.25" customHeight="1" x14ac:dyDescent="0.2">
      <c r="A32" s="509"/>
      <c r="B32" s="498"/>
      <c r="C32" s="498"/>
      <c r="D32" s="498"/>
      <c r="E32" s="498"/>
      <c r="F32" s="498"/>
      <c r="G32" s="498"/>
      <c r="H32" s="519"/>
    </row>
    <row r="33" spans="1:10" ht="12.75" customHeight="1" x14ac:dyDescent="0.2">
      <c r="A33" s="509" t="s">
        <v>35</v>
      </c>
      <c r="B33" s="499">
        <v>10.8</v>
      </c>
      <c r="C33" s="499">
        <v>12</v>
      </c>
      <c r="D33" s="499">
        <v>12.6</v>
      </c>
      <c r="E33" s="499">
        <v>13.6</v>
      </c>
      <c r="F33" s="499">
        <v>16.7</v>
      </c>
      <c r="G33" s="499">
        <v>15.9</v>
      </c>
      <c r="H33" s="520">
        <v>14.5</v>
      </c>
    </row>
    <row r="34" spans="1:10" ht="11.25" customHeight="1" x14ac:dyDescent="0.2">
      <c r="A34" s="509"/>
      <c r="B34" s="500"/>
      <c r="C34" s="500"/>
      <c r="D34" s="500"/>
      <c r="E34" s="500"/>
      <c r="F34" s="500"/>
      <c r="G34" s="500"/>
      <c r="H34" s="521"/>
    </row>
    <row r="35" spans="1:10" ht="7.5" customHeight="1" x14ac:dyDescent="0.2">
      <c r="A35" s="509"/>
      <c r="G35" s="9"/>
      <c r="H35" s="508"/>
    </row>
    <row r="36" spans="1:10" ht="12" customHeight="1" x14ac:dyDescent="0.2">
      <c r="A36" s="516" t="s">
        <v>436</v>
      </c>
      <c r="B36" s="514"/>
      <c r="C36" s="514"/>
      <c r="E36" s="514" t="s">
        <v>18</v>
      </c>
      <c r="G36" s="9"/>
      <c r="H36" s="508"/>
    </row>
    <row r="37" spans="1:10" ht="13.65" customHeight="1" x14ac:dyDescent="0.2">
      <c r="A37" s="511"/>
      <c r="B37" s="501"/>
      <c r="C37" s="501"/>
      <c r="D37" s="501"/>
      <c r="E37" s="501"/>
      <c r="F37" s="501"/>
      <c r="G37" s="501"/>
      <c r="H37" s="522"/>
      <c r="J37" s="10"/>
    </row>
    <row r="38" spans="1:10" ht="13.65" customHeight="1" x14ac:dyDescent="0.2">
      <c r="A38" s="509" t="s">
        <v>3</v>
      </c>
      <c r="B38" s="495">
        <v>0.74899999999999967</v>
      </c>
      <c r="C38" s="495">
        <v>0.76500000000000012</v>
      </c>
      <c r="D38" s="495">
        <v>0.70199999999999996</v>
      </c>
      <c r="E38" s="495">
        <v>0.56300000000000017</v>
      </c>
      <c r="F38" s="495">
        <v>0.41299999999999981</v>
      </c>
      <c r="G38" s="495">
        <v>0.83099999999999996</v>
      </c>
      <c r="H38" s="512" t="s">
        <v>290</v>
      </c>
      <c r="J38" s="10"/>
    </row>
    <row r="39" spans="1:10" ht="13.65" customHeight="1" x14ac:dyDescent="0.2">
      <c r="A39" s="509" t="s">
        <v>4</v>
      </c>
      <c r="B39" s="495">
        <v>0.73499999999999988</v>
      </c>
      <c r="C39" s="495">
        <v>0.74500000000000011</v>
      </c>
      <c r="D39" s="495">
        <v>0.68300000000000027</v>
      </c>
      <c r="E39" s="495">
        <v>0.55100000000000016</v>
      </c>
      <c r="F39" s="495">
        <v>0.38899999999999979</v>
      </c>
      <c r="G39" s="495">
        <v>0.80900000000000005</v>
      </c>
      <c r="H39" s="512" t="s">
        <v>290</v>
      </c>
    </row>
    <row r="40" spans="1:10" ht="6" customHeight="1" x14ac:dyDescent="0.2">
      <c r="A40" s="509" t="s">
        <v>1</v>
      </c>
      <c r="B40" s="496"/>
      <c r="C40" s="496"/>
      <c r="D40" s="496"/>
      <c r="E40" s="496"/>
      <c r="F40" s="496"/>
      <c r="G40" s="496"/>
      <c r="H40" s="513"/>
    </row>
    <row r="41" spans="1:10" ht="13.65" customHeight="1" x14ac:dyDescent="0.2">
      <c r="A41" s="509" t="s">
        <v>1</v>
      </c>
      <c r="B41" s="514"/>
      <c r="C41" s="514"/>
      <c r="E41" s="514" t="s">
        <v>19</v>
      </c>
      <c r="F41" s="496"/>
      <c r="G41" s="496"/>
      <c r="H41" s="513"/>
    </row>
    <row r="42" spans="1:10" ht="4.5" customHeight="1" x14ac:dyDescent="0.2">
      <c r="A42" s="511"/>
      <c r="B42" s="496"/>
      <c r="C42" s="496"/>
      <c r="D42" s="496"/>
      <c r="E42" s="496"/>
      <c r="F42" s="496"/>
      <c r="G42" s="496"/>
      <c r="H42" s="513"/>
    </row>
    <row r="43" spans="1:10" ht="13.65" customHeight="1" x14ac:dyDescent="0.2">
      <c r="A43" s="509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12" t="s">
        <v>290</v>
      </c>
    </row>
    <row r="44" spans="1:10" ht="4.5" customHeight="1" x14ac:dyDescent="0.2">
      <c r="A44" s="509" t="s">
        <v>1</v>
      </c>
      <c r="B44" s="500"/>
      <c r="C44" s="500"/>
      <c r="D44" s="500"/>
      <c r="E44" s="500"/>
      <c r="F44" s="500"/>
      <c r="G44" s="500"/>
      <c r="H44" s="521"/>
    </row>
    <row r="45" spans="1:10" ht="13.65" customHeight="1" x14ac:dyDescent="0.2">
      <c r="A45" s="509" t="s">
        <v>1</v>
      </c>
      <c r="B45" s="8"/>
      <c r="C45" s="514"/>
      <c r="E45" s="514" t="s">
        <v>20</v>
      </c>
      <c r="G45" s="9"/>
      <c r="H45" s="508"/>
    </row>
    <row r="46" spans="1:10" ht="6" customHeight="1" x14ac:dyDescent="0.2">
      <c r="A46" s="511"/>
      <c r="G46" s="9"/>
      <c r="H46" s="508"/>
    </row>
    <row r="47" spans="1:10" ht="13.65" customHeight="1" x14ac:dyDescent="0.2">
      <c r="A47" s="509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08">
        <f t="shared" ref="H47" si="18">G56</f>
        <v>18.414999999999999</v>
      </c>
      <c r="J47" s="10"/>
    </row>
    <row r="48" spans="1:10" ht="13.65" customHeight="1" x14ac:dyDescent="0.2">
      <c r="A48" s="509" t="s">
        <v>7</v>
      </c>
      <c r="B48" s="500">
        <v>60.326999999999998</v>
      </c>
      <c r="C48" s="500">
        <v>59.367000000000004</v>
      </c>
      <c r="D48" s="500">
        <v>56.586000000000013</v>
      </c>
      <c r="E48" s="500">
        <v>47.09099999999998</v>
      </c>
      <c r="F48" s="502">
        <v>31.579999999999984</v>
      </c>
      <c r="G48" s="502">
        <v>64.42</v>
      </c>
      <c r="H48" s="523">
        <v>53.003999999999998</v>
      </c>
      <c r="J48" s="10"/>
    </row>
    <row r="49" spans="1:10" ht="13.65" customHeight="1" x14ac:dyDescent="0.2">
      <c r="A49" s="509" t="s">
        <v>8</v>
      </c>
      <c r="B49" s="502">
        <v>5.5570000000000004</v>
      </c>
      <c r="C49" s="500">
        <v>7.5869999999999997</v>
      </c>
      <c r="D49" s="500">
        <v>6.7139999999999986</v>
      </c>
      <c r="E49" s="500">
        <v>7.0970000000000049</v>
      </c>
      <c r="F49" s="500">
        <v>8.0000000000000036</v>
      </c>
      <c r="G49" s="500">
        <v>7.2809999999999997</v>
      </c>
      <c r="H49" s="521">
        <v>7.5</v>
      </c>
    </row>
    <row r="50" spans="1:10" ht="13.65" customHeight="1" x14ac:dyDescent="0.2">
      <c r="A50" s="509" t="s">
        <v>36</v>
      </c>
      <c r="B50" s="500">
        <v>72.878</v>
      </c>
      <c r="C50" s="500">
        <v>78.171999999999997</v>
      </c>
      <c r="D50" s="500">
        <v>72.546999999999997</v>
      </c>
      <c r="E50" s="500">
        <v>66.090999999999994</v>
      </c>
      <c r="F50" s="500">
        <v>52.38</v>
      </c>
      <c r="G50" s="500">
        <v>79.16</v>
      </c>
      <c r="H50" s="521">
        <v>78.918999999999997</v>
      </c>
    </row>
    <row r="51" spans="1:10" ht="5.25" customHeight="1" x14ac:dyDescent="0.2">
      <c r="A51" s="509" t="s">
        <v>1</v>
      </c>
      <c r="G51" s="9"/>
      <c r="H51" s="508"/>
    </row>
    <row r="52" spans="1:10" ht="13.65" customHeight="1" x14ac:dyDescent="0.2">
      <c r="A52" s="509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37.396999999999998</v>
      </c>
      <c r="H52" s="508">
        <v>37</v>
      </c>
      <c r="J52" s="12"/>
    </row>
    <row r="53" spans="1:10" ht="13.65" customHeight="1" x14ac:dyDescent="0.2">
      <c r="A53" s="509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08">
        <v>25</v>
      </c>
    </row>
    <row r="54" spans="1:10" ht="13.65" customHeight="1" x14ac:dyDescent="0.2">
      <c r="A54" s="509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60.744999999999997</v>
      </c>
      <c r="H54" s="508">
        <f>H52+H53</f>
        <v>62</v>
      </c>
      <c r="J54" s="12"/>
    </row>
    <row r="55" spans="1:10" ht="6" customHeight="1" x14ac:dyDescent="0.2">
      <c r="A55" s="509" t="s">
        <v>1</v>
      </c>
      <c r="G55" s="9"/>
      <c r="H55" s="508"/>
    </row>
    <row r="56" spans="1:10" ht="13.65" customHeight="1" x14ac:dyDescent="0.2">
      <c r="A56" s="509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18.414999999999999</v>
      </c>
      <c r="H56" s="517">
        <f>H50-H54</f>
        <v>16.918999999999997</v>
      </c>
    </row>
    <row r="57" spans="1:10" ht="6" customHeight="1" x14ac:dyDescent="0.2">
      <c r="A57" s="511"/>
      <c r="G57" s="9"/>
      <c r="H57" s="508"/>
    </row>
    <row r="58" spans="1:10" ht="13.5" customHeight="1" x14ac:dyDescent="0.2">
      <c r="A58" s="509" t="s">
        <v>1</v>
      </c>
      <c r="B58" s="8"/>
      <c r="C58" s="514"/>
      <c r="E58" s="514" t="s">
        <v>21</v>
      </c>
      <c r="G58" s="9"/>
      <c r="H58" s="508"/>
    </row>
    <row r="59" spans="1:10" ht="5.25" customHeight="1" x14ac:dyDescent="0.2">
      <c r="A59" s="511"/>
      <c r="G59" s="9"/>
      <c r="H59" s="508"/>
    </row>
    <row r="60" spans="1:10" ht="13.65" customHeight="1" x14ac:dyDescent="0.2">
      <c r="A60" s="516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30.315252284138612</v>
      </c>
      <c r="H60" s="517">
        <f t="shared" ref="H60" si="21">H56/H54*100</f>
        <v>27.288709677419348</v>
      </c>
    </row>
    <row r="61" spans="1:10" ht="13.65" customHeight="1" x14ac:dyDescent="0.2">
      <c r="A61" s="516"/>
      <c r="B61" s="10"/>
      <c r="C61" s="10"/>
      <c r="D61" s="10"/>
      <c r="E61" s="10"/>
      <c r="F61" s="10"/>
      <c r="G61" s="10"/>
      <c r="H61" s="517"/>
    </row>
    <row r="62" spans="1:10" ht="13.65" customHeight="1" x14ac:dyDescent="0.2">
      <c r="A62" s="516"/>
      <c r="B62" s="10"/>
      <c r="C62" s="524"/>
      <c r="E62" s="524" t="s">
        <v>421</v>
      </c>
      <c r="F62" s="10"/>
      <c r="G62" s="10"/>
      <c r="H62" s="517"/>
    </row>
    <row r="63" spans="1:10" ht="13.65" customHeight="1" x14ac:dyDescent="0.2">
      <c r="A63" s="509" t="s">
        <v>38</v>
      </c>
      <c r="B63" s="503"/>
      <c r="C63" s="503"/>
      <c r="D63" s="503"/>
      <c r="E63" s="503"/>
      <c r="F63" s="503"/>
      <c r="G63" s="503"/>
      <c r="H63" s="525"/>
    </row>
    <row r="64" spans="1:10" ht="13.65" customHeight="1" x14ac:dyDescent="0.2">
      <c r="A64" s="509" t="s">
        <v>39</v>
      </c>
      <c r="B64" s="498">
        <v>18.5</v>
      </c>
      <c r="C64" s="498">
        <v>18.2</v>
      </c>
      <c r="D64" s="498">
        <v>20.100000000000001</v>
      </c>
      <c r="E64" s="498">
        <v>26.4</v>
      </c>
      <c r="F64" s="498">
        <v>33.799999999999997</v>
      </c>
      <c r="G64" s="498">
        <v>24.2</v>
      </c>
      <c r="H64" s="519">
        <v>19.600000000000001</v>
      </c>
    </row>
    <row r="65" spans="1:10" ht="13.65" customHeight="1" x14ac:dyDescent="0.2">
      <c r="A65" s="509"/>
      <c r="B65" s="498"/>
      <c r="C65" s="498"/>
      <c r="D65" s="498"/>
      <c r="E65" s="498"/>
      <c r="F65" s="498"/>
      <c r="G65" s="498"/>
      <c r="H65" s="519"/>
    </row>
    <row r="66" spans="1:10" ht="13.65" customHeight="1" x14ac:dyDescent="0.2">
      <c r="A66" s="509" t="s">
        <v>40</v>
      </c>
      <c r="B66" s="498">
        <v>21.1</v>
      </c>
      <c r="C66" s="498">
        <v>21.6</v>
      </c>
      <c r="D66" s="498">
        <v>22.6</v>
      </c>
      <c r="E66" s="498">
        <v>31.9</v>
      </c>
      <c r="F66" s="498">
        <v>40.9</v>
      </c>
      <c r="G66" s="498">
        <v>28</v>
      </c>
      <c r="H66" s="519">
        <v>22</v>
      </c>
    </row>
    <row r="67" spans="1:10" ht="13.65" customHeight="1" x14ac:dyDescent="0.2">
      <c r="A67" s="509"/>
      <c r="B67" s="498"/>
      <c r="C67" s="498"/>
      <c r="D67" s="498"/>
      <c r="E67" s="498"/>
      <c r="F67" s="498"/>
      <c r="G67" s="498"/>
      <c r="H67" s="519"/>
    </row>
    <row r="68" spans="1:10" ht="13.65" customHeight="1" x14ac:dyDescent="0.2">
      <c r="A68" s="516" t="s">
        <v>41</v>
      </c>
      <c r="B68" s="498">
        <v>12.3</v>
      </c>
      <c r="C68" s="498">
        <v>11.6</v>
      </c>
      <c r="D68" s="498">
        <v>13</v>
      </c>
      <c r="E68" s="498">
        <v>13.9</v>
      </c>
      <c r="F68" s="498">
        <v>18.2</v>
      </c>
      <c r="G68" s="498">
        <v>17.5</v>
      </c>
      <c r="H68" s="519">
        <v>14.5</v>
      </c>
    </row>
    <row r="69" spans="1:10" ht="10.5" customHeight="1" x14ac:dyDescent="0.2">
      <c r="A69" s="516"/>
      <c r="B69" s="504"/>
      <c r="C69" s="504"/>
      <c r="D69" s="504"/>
      <c r="E69" s="504"/>
      <c r="F69" s="504"/>
      <c r="G69" s="504"/>
      <c r="H69" s="526"/>
    </row>
    <row r="70" spans="1:10" ht="10.5" customHeight="1" x14ac:dyDescent="0.2">
      <c r="A70" s="509" t="s">
        <v>16</v>
      </c>
      <c r="E70" s="514" t="s">
        <v>20</v>
      </c>
      <c r="G70" s="9"/>
      <c r="H70" s="508"/>
    </row>
    <row r="71" spans="1:10" ht="13.5" customHeight="1" x14ac:dyDescent="0.2">
      <c r="A71" s="527" t="s">
        <v>42</v>
      </c>
      <c r="B71" s="528">
        <v>2.0619999999999998</v>
      </c>
      <c r="C71" s="528">
        <v>1.0269999999999999</v>
      </c>
      <c r="D71" s="529">
        <v>2.4940000000000002</v>
      </c>
      <c r="E71" s="529">
        <v>2.0430000000000001</v>
      </c>
      <c r="F71" s="529">
        <v>2.2839999999999998</v>
      </c>
      <c r="G71" s="529">
        <v>1.62</v>
      </c>
      <c r="H71" s="530" t="s">
        <v>26</v>
      </c>
    </row>
    <row r="72" spans="1:10" ht="13.65" customHeight="1" x14ac:dyDescent="0.2">
      <c r="A72" s="13" t="s">
        <v>362</v>
      </c>
      <c r="G72" s="9"/>
    </row>
    <row r="73" spans="1:10" ht="13.65" customHeight="1" x14ac:dyDescent="0.2">
      <c r="A73" s="13" t="s">
        <v>358</v>
      </c>
      <c r="G73" s="9"/>
    </row>
    <row r="74" spans="1:10" ht="13.65" customHeight="1" x14ac:dyDescent="0.2">
      <c r="A74" s="13" t="s">
        <v>357</v>
      </c>
      <c r="G74" s="9"/>
    </row>
    <row r="75" spans="1:10" ht="13.65" customHeight="1" x14ac:dyDescent="0.2">
      <c r="A75" s="13" t="s">
        <v>396</v>
      </c>
      <c r="G75" s="9"/>
    </row>
    <row r="76" spans="1:10" ht="15" customHeight="1" x14ac:dyDescent="0.2">
      <c r="A76" s="8" t="s">
        <v>397</v>
      </c>
      <c r="G76" s="9"/>
    </row>
    <row r="77" spans="1:10" ht="13.5" customHeight="1" x14ac:dyDescent="0.2">
      <c r="A77" s="13" t="s">
        <v>406</v>
      </c>
      <c r="G77" s="9"/>
    </row>
    <row r="78" spans="1:10" ht="13.5" customHeight="1" x14ac:dyDescent="0.2">
      <c r="A78" s="13" t="s">
        <v>404</v>
      </c>
      <c r="G78" s="9"/>
    </row>
    <row r="79" spans="1:10" x14ac:dyDescent="0.2">
      <c r="A79" s="14" t="s">
        <v>429</v>
      </c>
      <c r="G79" s="9"/>
      <c r="J79" s="10"/>
    </row>
    <row r="80" spans="1:10" x14ac:dyDescent="0.2">
      <c r="A80" s="8" t="s">
        <v>308</v>
      </c>
      <c r="G80" s="9"/>
      <c r="J80" s="10"/>
    </row>
    <row r="81" spans="1:10" x14ac:dyDescent="0.2">
      <c r="A81" s="6" t="s">
        <v>477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3"/>
      <c r="G105" s="9"/>
      <c r="J105" s="10"/>
    </row>
    <row r="106" spans="6:10" x14ac:dyDescent="0.2">
      <c r="F106" s="153"/>
      <c r="G106" s="9"/>
      <c r="J106" s="10"/>
    </row>
    <row r="107" spans="6:10" x14ac:dyDescent="0.2">
      <c r="F107" s="153"/>
      <c r="G107" s="9"/>
      <c r="J107" s="10"/>
    </row>
    <row r="108" spans="6:10" x14ac:dyDescent="0.2">
      <c r="F108" s="153"/>
      <c r="G108" s="9"/>
    </row>
    <row r="109" spans="6:10" x14ac:dyDescent="0.2">
      <c r="F109" s="153"/>
      <c r="G109" s="9"/>
      <c r="J109" s="10"/>
    </row>
    <row r="110" spans="6:10" x14ac:dyDescent="0.2">
      <c r="F110" s="153"/>
      <c r="G110" s="9"/>
      <c r="J110" s="10"/>
    </row>
    <row r="111" spans="6:10" x14ac:dyDescent="0.2">
      <c r="F111" s="153"/>
      <c r="G111" s="9"/>
      <c r="J111" s="10"/>
    </row>
    <row r="112" spans="6:10" x14ac:dyDescent="0.2">
      <c r="F112" s="153"/>
      <c r="G112" s="9"/>
    </row>
    <row r="113" spans="6:10" x14ac:dyDescent="0.2">
      <c r="F113" s="153"/>
      <c r="G113" s="9"/>
      <c r="J113" s="10"/>
    </row>
    <row r="114" spans="6:10" x14ac:dyDescent="0.2">
      <c r="F114" s="153"/>
      <c r="G114" s="9"/>
      <c r="J114" s="10"/>
    </row>
    <row r="115" spans="6:10" x14ac:dyDescent="0.2">
      <c r="F115" s="153"/>
      <c r="G115" s="9"/>
    </row>
    <row r="116" spans="6:10" x14ac:dyDescent="0.2">
      <c r="F116" s="153"/>
      <c r="G116" s="9"/>
      <c r="J116" s="10"/>
    </row>
    <row r="117" spans="6:10" x14ac:dyDescent="0.2">
      <c r="F117" s="153"/>
      <c r="G117" s="9"/>
      <c r="J117" s="10"/>
    </row>
    <row r="118" spans="6:10" x14ac:dyDescent="0.2">
      <c r="F118" s="153"/>
      <c r="G118" s="9"/>
      <c r="J118" s="10"/>
    </row>
    <row r="119" spans="6:10" x14ac:dyDescent="0.2">
      <c r="F119" s="153"/>
      <c r="G119" s="9"/>
    </row>
    <row r="120" spans="6:10" x14ac:dyDescent="0.2">
      <c r="F120" s="153"/>
      <c r="G120" s="9"/>
    </row>
    <row r="121" spans="6:10" x14ac:dyDescent="0.2">
      <c r="F121" s="153"/>
      <c r="G121" s="9"/>
    </row>
    <row r="122" spans="6:10" x14ac:dyDescent="0.2">
      <c r="F122" s="153"/>
      <c r="G122" s="9"/>
    </row>
    <row r="123" spans="6:10" x14ac:dyDescent="0.2">
      <c r="F123" s="153"/>
      <c r="G123" s="9"/>
    </row>
    <row r="124" spans="6:10" x14ac:dyDescent="0.2">
      <c r="F124" s="153"/>
      <c r="G124" s="9"/>
    </row>
    <row r="125" spans="6:10" x14ac:dyDescent="0.2">
      <c r="F125" s="153"/>
      <c r="G125" s="9"/>
    </row>
    <row r="126" spans="6:10" x14ac:dyDescent="0.2">
      <c r="F126" s="153"/>
      <c r="G126" s="9"/>
    </row>
    <row r="127" spans="6:10" x14ac:dyDescent="0.2">
      <c r="F127" s="153"/>
      <c r="G127" s="9"/>
    </row>
    <row r="177" spans="9:9" x14ac:dyDescent="0.2">
      <c r="I177" s="272"/>
    </row>
    <row r="178" spans="9:9" x14ac:dyDescent="0.2">
      <c r="I178" s="272"/>
    </row>
    <row r="179" spans="9:9" x14ac:dyDescent="0.2">
      <c r="I179" s="272"/>
    </row>
    <row r="180" spans="9:9" x14ac:dyDescent="0.2">
      <c r="I180" s="272"/>
    </row>
    <row r="181" spans="9:9" x14ac:dyDescent="0.2">
      <c r="I181" s="272"/>
    </row>
    <row r="182" spans="9:9" x14ac:dyDescent="0.2">
      <c r="I182" s="272"/>
    </row>
    <row r="183" spans="9:9" x14ac:dyDescent="0.2">
      <c r="I183" s="272"/>
    </row>
    <row r="184" spans="9:9" x14ac:dyDescent="0.2">
      <c r="I184" s="272"/>
    </row>
    <row r="185" spans="9:9" x14ac:dyDescent="0.2">
      <c r="I185" s="272"/>
    </row>
    <row r="186" spans="9:9" x14ac:dyDescent="0.2">
      <c r="I186" s="272"/>
    </row>
    <row r="187" spans="9:9" x14ac:dyDescent="0.2">
      <c r="I187" s="272"/>
    </row>
    <row r="188" spans="9:9" x14ac:dyDescent="0.2">
      <c r="I188" s="272"/>
    </row>
    <row r="189" spans="9:9" x14ac:dyDescent="0.2">
      <c r="I189" s="272"/>
    </row>
    <row r="190" spans="9:9" x14ac:dyDescent="0.2">
      <c r="I190" s="272"/>
    </row>
    <row r="191" spans="9:9" x14ac:dyDescent="0.2">
      <c r="I191" s="272"/>
    </row>
    <row r="192" spans="9:9" x14ac:dyDescent="0.2">
      <c r="I192" s="272"/>
    </row>
    <row r="193" spans="9:9" x14ac:dyDescent="0.2">
      <c r="I193" s="272"/>
    </row>
    <row r="194" spans="9:9" x14ac:dyDescent="0.2">
      <c r="I194" s="272"/>
    </row>
    <row r="195" spans="9:9" x14ac:dyDescent="0.2">
      <c r="I195" s="272"/>
    </row>
    <row r="196" spans="9:9" x14ac:dyDescent="0.2">
      <c r="I196" s="272"/>
    </row>
    <row r="197" spans="9:9" x14ac:dyDescent="0.2">
      <c r="I197" s="272"/>
    </row>
    <row r="198" spans="9:9" x14ac:dyDescent="0.2">
      <c r="I198" s="272"/>
    </row>
    <row r="199" spans="9:9" x14ac:dyDescent="0.2">
      <c r="I199" s="272"/>
    </row>
    <row r="200" spans="9:9" x14ac:dyDescent="0.2">
      <c r="I200" s="272"/>
    </row>
    <row r="201" spans="9:9" x14ac:dyDescent="0.2">
      <c r="I201" s="272"/>
    </row>
    <row r="202" spans="9:9" x14ac:dyDescent="0.2">
      <c r="I202" s="272"/>
    </row>
    <row r="203" spans="9:9" x14ac:dyDescent="0.2">
      <c r="I203" s="272"/>
    </row>
    <row r="204" spans="9:9" x14ac:dyDescent="0.2">
      <c r="I204" s="272"/>
    </row>
    <row r="205" spans="9:9" x14ac:dyDescent="0.2">
      <c r="I205" s="272"/>
    </row>
    <row r="206" spans="9:9" x14ac:dyDescent="0.2">
      <c r="I206" s="272"/>
    </row>
    <row r="207" spans="9:9" x14ac:dyDescent="0.2">
      <c r="I207" s="272"/>
    </row>
    <row r="208" spans="9:9" x14ac:dyDescent="0.2">
      <c r="I208" s="272"/>
    </row>
    <row r="209" spans="9:9" x14ac:dyDescent="0.2">
      <c r="I209" s="272"/>
    </row>
    <row r="210" spans="9:9" x14ac:dyDescent="0.2">
      <c r="I210" s="272"/>
    </row>
    <row r="211" spans="9:9" x14ac:dyDescent="0.2">
      <c r="I211" s="272"/>
    </row>
    <row r="212" spans="9:9" x14ac:dyDescent="0.2">
      <c r="I212" s="272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10" zoomScaleNormal="110" workbookViewId="0">
      <selection activeCell="A24" sqref="A24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39" t="s">
        <v>328</v>
      </c>
      <c r="B1" s="340"/>
      <c r="C1" s="340"/>
      <c r="D1" s="340"/>
      <c r="E1" s="341"/>
      <c r="F1" s="340"/>
      <c r="G1" s="340"/>
      <c r="H1" s="340"/>
      <c r="I1" s="341"/>
      <c r="J1" s="340"/>
      <c r="K1" s="340"/>
      <c r="L1" s="340"/>
      <c r="M1" s="340"/>
      <c r="N1" s="342"/>
    </row>
    <row r="2" spans="1:32" x14ac:dyDescent="0.2">
      <c r="A2" s="343"/>
      <c r="B2" s="344"/>
      <c r="C2" s="18"/>
      <c r="D2" s="19" t="s">
        <v>444</v>
      </c>
      <c r="E2" s="20"/>
      <c r="F2" s="345"/>
      <c r="G2" s="18"/>
      <c r="H2" s="19" t="s">
        <v>374</v>
      </c>
      <c r="I2" s="20"/>
      <c r="J2" s="345"/>
      <c r="K2" s="18"/>
      <c r="L2" s="19" t="s">
        <v>334</v>
      </c>
      <c r="M2" s="20"/>
      <c r="N2" s="346"/>
      <c r="O2" s="21"/>
      <c r="AD2" s="22"/>
      <c r="AE2" s="22"/>
    </row>
    <row r="3" spans="1:32" x14ac:dyDescent="0.2">
      <c r="A3" s="347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48"/>
      <c r="AE3" s="27"/>
    </row>
    <row r="4" spans="1:32" x14ac:dyDescent="0.2">
      <c r="A4" s="349"/>
      <c r="B4" s="344"/>
      <c r="C4" s="27"/>
      <c r="D4" s="27"/>
      <c r="G4" s="27"/>
      <c r="H4" s="27"/>
      <c r="I4" s="28"/>
      <c r="K4" s="27"/>
      <c r="L4" s="27"/>
      <c r="M4" s="28"/>
      <c r="N4" s="350"/>
      <c r="AE4" s="27"/>
    </row>
    <row r="5" spans="1:32" x14ac:dyDescent="0.2">
      <c r="A5" s="343"/>
      <c r="B5" s="344"/>
      <c r="I5" s="28"/>
      <c r="M5" s="28"/>
      <c r="N5" s="350"/>
      <c r="AD5" s="27"/>
      <c r="AE5" s="27"/>
      <c r="AF5" s="22"/>
    </row>
    <row r="6" spans="1:32" x14ac:dyDescent="0.2">
      <c r="A6" s="349" t="s">
        <v>47</v>
      </c>
      <c r="B6" s="344"/>
      <c r="C6" s="351">
        <v>16.5</v>
      </c>
      <c r="D6" s="37"/>
      <c r="E6" s="352">
        <v>5867</v>
      </c>
      <c r="G6" s="351">
        <v>22.4</v>
      </c>
      <c r="H6" s="37"/>
      <c r="I6" s="352">
        <v>4532</v>
      </c>
      <c r="K6" s="351">
        <v>19.2</v>
      </c>
      <c r="L6" s="37"/>
      <c r="M6" s="352">
        <v>4685</v>
      </c>
      <c r="N6" s="350"/>
      <c r="O6" s="21"/>
    </row>
    <row r="7" spans="1:32" x14ac:dyDescent="0.2">
      <c r="A7" s="349" t="s">
        <v>48</v>
      </c>
      <c r="B7" s="344"/>
      <c r="C7" s="351"/>
      <c r="D7" s="37"/>
      <c r="E7" s="352"/>
      <c r="G7" s="351">
        <v>17.3</v>
      </c>
      <c r="H7" s="37"/>
      <c r="I7" s="352">
        <v>10144</v>
      </c>
      <c r="K7" s="351">
        <v>17.7</v>
      </c>
      <c r="L7" s="37"/>
      <c r="M7" s="352">
        <v>9203</v>
      </c>
      <c r="N7" s="350"/>
      <c r="O7" s="21"/>
      <c r="AD7" s="29"/>
      <c r="AF7" s="29"/>
    </row>
    <row r="8" spans="1:32" x14ac:dyDescent="0.2">
      <c r="A8" s="349" t="s">
        <v>49</v>
      </c>
      <c r="B8" s="344"/>
      <c r="C8" s="351"/>
      <c r="D8" s="37"/>
      <c r="E8" s="352"/>
      <c r="F8" s="353"/>
      <c r="G8" s="351">
        <v>17.3</v>
      </c>
      <c r="H8" s="37"/>
      <c r="I8" s="352">
        <v>15149</v>
      </c>
      <c r="J8" s="353"/>
      <c r="K8" s="351">
        <v>18.8</v>
      </c>
      <c r="L8" s="37"/>
      <c r="M8" s="352">
        <v>10359</v>
      </c>
      <c r="N8" s="350"/>
      <c r="AD8" s="29"/>
      <c r="AF8" s="29"/>
    </row>
    <row r="9" spans="1:32" x14ac:dyDescent="0.2">
      <c r="A9" s="349" t="s">
        <v>50</v>
      </c>
      <c r="B9" s="344"/>
      <c r="C9" s="351"/>
      <c r="D9" s="37"/>
      <c r="E9" s="352"/>
      <c r="G9" s="351">
        <v>17</v>
      </c>
      <c r="H9" s="37"/>
      <c r="I9" s="352">
        <v>14924</v>
      </c>
      <c r="K9" s="351">
        <v>19.7</v>
      </c>
      <c r="L9" s="37"/>
      <c r="M9" s="352">
        <v>9616</v>
      </c>
      <c r="N9" s="350"/>
      <c r="AD9" s="29"/>
      <c r="AF9" s="29"/>
    </row>
    <row r="10" spans="1:32" x14ac:dyDescent="0.2">
      <c r="A10" s="349" t="s">
        <v>51</v>
      </c>
      <c r="B10" s="344"/>
      <c r="C10" s="351"/>
      <c r="D10" s="354"/>
      <c r="E10" s="352"/>
      <c r="G10" s="351">
        <v>17.5</v>
      </c>
      <c r="H10" s="354"/>
      <c r="I10" s="352">
        <v>12104</v>
      </c>
      <c r="K10" s="351">
        <v>20.8</v>
      </c>
      <c r="L10" s="354"/>
      <c r="M10" s="352">
        <v>11834</v>
      </c>
      <c r="N10" s="350"/>
      <c r="AD10" s="29"/>
      <c r="AF10" s="29"/>
    </row>
    <row r="11" spans="1:32" x14ac:dyDescent="0.2">
      <c r="A11" s="349" t="s">
        <v>52</v>
      </c>
      <c r="B11" s="344"/>
      <c r="C11" s="351"/>
      <c r="D11" s="355"/>
      <c r="E11" s="352"/>
      <c r="G11" s="351">
        <v>19.600000000000001</v>
      </c>
      <c r="H11" s="355"/>
      <c r="I11" s="352">
        <v>19362</v>
      </c>
      <c r="K11" s="351">
        <v>20.3</v>
      </c>
      <c r="L11" s="354"/>
      <c r="M11" s="352">
        <v>14942</v>
      </c>
      <c r="N11" s="356"/>
      <c r="AD11" s="29"/>
      <c r="AF11" s="29"/>
    </row>
    <row r="12" spans="1:32" x14ac:dyDescent="0.2">
      <c r="A12" s="349" t="s">
        <v>70</v>
      </c>
      <c r="B12" s="344"/>
      <c r="C12" s="351"/>
      <c r="D12" s="355"/>
      <c r="E12" s="352"/>
      <c r="G12" s="351">
        <v>17.8</v>
      </c>
      <c r="H12" s="355"/>
      <c r="I12" s="352">
        <v>17671</v>
      </c>
      <c r="K12" s="351">
        <v>19.600000000000001</v>
      </c>
      <c r="L12" s="354"/>
      <c r="M12" s="352">
        <v>11044</v>
      </c>
      <c r="N12" s="356"/>
      <c r="AD12" s="29"/>
      <c r="AF12" s="29"/>
    </row>
    <row r="13" spans="1:32" x14ac:dyDescent="0.2">
      <c r="A13" s="349" t="s">
        <v>53</v>
      </c>
      <c r="B13" s="344"/>
      <c r="C13" s="351"/>
      <c r="D13" s="355"/>
      <c r="E13" s="352"/>
      <c r="G13" s="351">
        <v>17.5</v>
      </c>
      <c r="H13" s="355"/>
      <c r="I13" s="352">
        <v>12991</v>
      </c>
      <c r="K13" s="351">
        <v>19.3</v>
      </c>
      <c r="L13" s="354"/>
      <c r="M13" s="352">
        <v>14412</v>
      </c>
      <c r="N13" s="350"/>
      <c r="AD13" s="29"/>
      <c r="AF13" s="29"/>
    </row>
    <row r="14" spans="1:32" x14ac:dyDescent="0.2">
      <c r="A14" s="349" t="s">
        <v>54</v>
      </c>
      <c r="B14" s="344"/>
      <c r="C14" s="351"/>
      <c r="D14" s="355"/>
      <c r="E14" s="352"/>
      <c r="G14" s="351">
        <v>17.600000000000001</v>
      </c>
      <c r="H14" s="355"/>
      <c r="I14" s="352">
        <v>10472</v>
      </c>
      <c r="K14" s="351">
        <v>20</v>
      </c>
      <c r="L14" s="354"/>
      <c r="M14" s="352">
        <v>9200</v>
      </c>
      <c r="N14" s="356"/>
      <c r="AD14" s="29"/>
      <c r="AF14" s="29"/>
    </row>
    <row r="15" spans="1:32" x14ac:dyDescent="0.2">
      <c r="A15" s="349" t="s">
        <v>55</v>
      </c>
      <c r="B15" s="344"/>
      <c r="C15" s="351"/>
      <c r="D15" s="355"/>
      <c r="E15" s="352"/>
      <c r="G15" s="351">
        <v>17.399999999999999</v>
      </c>
      <c r="H15" s="355"/>
      <c r="I15" s="352">
        <v>7217</v>
      </c>
      <c r="K15" s="351">
        <v>20.399999999999999</v>
      </c>
      <c r="L15" s="354"/>
      <c r="M15" s="352">
        <v>8037</v>
      </c>
      <c r="N15" s="350"/>
      <c r="AD15" s="29"/>
      <c r="AF15" s="29"/>
    </row>
    <row r="16" spans="1:32" x14ac:dyDescent="0.2">
      <c r="A16" s="349" t="s">
        <v>56</v>
      </c>
      <c r="B16" s="344"/>
      <c r="C16" s="351"/>
      <c r="D16" s="355"/>
      <c r="E16" s="352"/>
      <c r="G16" s="351">
        <v>16.899999999999999</v>
      </c>
      <c r="H16" s="355"/>
      <c r="I16" s="352">
        <v>6879</v>
      </c>
      <c r="K16" s="351">
        <v>21.2</v>
      </c>
      <c r="L16" s="354"/>
      <c r="M16" s="352">
        <v>6430</v>
      </c>
      <c r="N16" s="356"/>
      <c r="AD16" s="29"/>
      <c r="AF16" s="29"/>
    </row>
    <row r="17" spans="1:32" x14ac:dyDescent="0.2">
      <c r="A17" s="349" t="s">
        <v>57</v>
      </c>
      <c r="B17" s="344"/>
      <c r="C17" s="357"/>
      <c r="D17" s="355"/>
      <c r="E17" s="352"/>
      <c r="F17" s="358"/>
      <c r="G17" s="357">
        <v>16.8</v>
      </c>
      <c r="H17" s="355"/>
      <c r="I17" s="352">
        <v>7079</v>
      </c>
      <c r="K17" s="357">
        <v>22</v>
      </c>
      <c r="L17" s="354"/>
      <c r="M17" s="352">
        <v>5247</v>
      </c>
      <c r="N17" s="356"/>
      <c r="AD17" s="29"/>
      <c r="AF17" s="29"/>
    </row>
    <row r="18" spans="1:32" x14ac:dyDescent="0.2">
      <c r="A18" s="343"/>
      <c r="B18" s="344"/>
      <c r="D18" s="30"/>
      <c r="E18" s="31"/>
      <c r="F18" s="30"/>
      <c r="H18" s="30"/>
      <c r="I18" s="31"/>
      <c r="J18" s="30"/>
      <c r="L18" s="30"/>
      <c r="M18" s="31"/>
      <c r="N18" s="359"/>
      <c r="AD18" s="29"/>
      <c r="AF18" s="29"/>
    </row>
    <row r="19" spans="1:32" x14ac:dyDescent="0.2">
      <c r="A19" s="343" t="s">
        <v>453</v>
      </c>
      <c r="B19" s="344"/>
      <c r="C19" s="360">
        <f>(C6*E6/E22)+(C7*E7/E22)+(C8*E8/E22)+(C9*E9/E22)+(C10*E10/E22)+(C11*E11/E22)+(C12*E12/E22)+(C13*E13/E22)+(C14*E14/E22)+(C15*E15/E22)+(C16*E16/E22)+(C17*E17/E22)</f>
        <v>16.5</v>
      </c>
      <c r="D19" s="30"/>
      <c r="E19" s="31"/>
      <c r="F19" s="30"/>
      <c r="G19" s="360">
        <f>(G6*I6/I22)+(G7*I7/I22)+(G8*I8/I22)+(G9*I9/I22)+(G10*I10/I22)+(G11*I11/I22)+(G12*I12/I22)+(G13*I13/I22)+(G14*I14/I22)+(G15*I15/I22)+(G16*I16/I22)+(G17*I17/I22)</f>
        <v>17.838500909589673</v>
      </c>
      <c r="H19" s="30"/>
      <c r="I19" s="31"/>
      <c r="J19" s="30"/>
      <c r="K19" s="360"/>
      <c r="L19" s="30"/>
      <c r="M19" s="31"/>
      <c r="N19" s="359"/>
      <c r="AD19" s="29"/>
      <c r="AF19" s="29"/>
    </row>
    <row r="20" spans="1:32" x14ac:dyDescent="0.2">
      <c r="A20" s="343" t="s">
        <v>490</v>
      </c>
      <c r="B20" s="344"/>
      <c r="C20" s="361">
        <v>15.6</v>
      </c>
      <c r="D20" s="32"/>
      <c r="E20" s="362"/>
      <c r="G20" s="361">
        <v>17.600000000000001</v>
      </c>
      <c r="H20" s="32"/>
      <c r="I20" s="362"/>
      <c r="K20" s="361">
        <v>19.8</v>
      </c>
      <c r="L20" s="32"/>
      <c r="M20" s="362"/>
      <c r="N20" s="350"/>
      <c r="AD20" s="29"/>
      <c r="AF20" s="29"/>
    </row>
    <row r="21" spans="1:32" x14ac:dyDescent="0.2">
      <c r="A21" s="343" t="s">
        <v>58</v>
      </c>
      <c r="B21" s="344"/>
      <c r="C21" s="363"/>
      <c r="E21" s="33">
        <f>AVERAGE(E6:E17)</f>
        <v>5867</v>
      </c>
      <c r="G21" s="363"/>
      <c r="I21" s="33">
        <f>AVERAGE(I6:I17)</f>
        <v>11543.666666666666</v>
      </c>
      <c r="K21" s="363"/>
      <c r="M21" s="33">
        <f>AVERAGE(M6:M17)</f>
        <v>9584.0833333333339</v>
      </c>
      <c r="N21" s="350"/>
      <c r="AD21" s="29"/>
      <c r="AF21" s="29"/>
    </row>
    <row r="22" spans="1:32" ht="12" thickBot="1" x14ac:dyDescent="0.25">
      <c r="A22" s="364" t="s">
        <v>59</v>
      </c>
      <c r="B22" s="365"/>
      <c r="C22" s="366"/>
      <c r="D22" s="366"/>
      <c r="E22" s="367">
        <f>SUM(E6:E17)</f>
        <v>5867</v>
      </c>
      <c r="F22" s="368"/>
      <c r="G22" s="366"/>
      <c r="H22" s="366"/>
      <c r="I22" s="367">
        <f>SUM(I6:I17)</f>
        <v>138524</v>
      </c>
      <c r="J22" s="368"/>
      <c r="K22" s="366"/>
      <c r="L22" s="366"/>
      <c r="M22" s="367">
        <f>SUM(M6:M17)</f>
        <v>115009</v>
      </c>
      <c r="N22" s="369"/>
      <c r="AD22" s="29"/>
      <c r="AE22" s="27"/>
      <c r="AF22" s="29"/>
    </row>
    <row r="23" spans="1:32" x14ac:dyDescent="0.2">
      <c r="A23" s="27" t="s">
        <v>424</v>
      </c>
      <c r="I23" s="28"/>
      <c r="AD23" s="34"/>
      <c r="AE23" s="27"/>
    </row>
    <row r="24" spans="1:32" x14ac:dyDescent="0.2">
      <c r="A24" s="35" t="s">
        <v>491</v>
      </c>
      <c r="I24" s="28"/>
      <c r="AD24" s="34"/>
      <c r="AE24" s="27"/>
    </row>
    <row r="25" spans="1:32" x14ac:dyDescent="0.2">
      <c r="A25" s="35" t="s">
        <v>400</v>
      </c>
    </row>
    <row r="26" spans="1:32" ht="12.75" customHeight="1" x14ac:dyDescent="0.2">
      <c r="A26" s="6" t="s">
        <v>477</v>
      </c>
      <c r="C26" s="36"/>
      <c r="G26" s="36"/>
      <c r="K26" s="36"/>
    </row>
    <row r="27" spans="1:32" x14ac:dyDescent="0.2">
      <c r="B27" s="17"/>
      <c r="C27" s="37"/>
      <c r="D27" s="17"/>
      <c r="E27" s="38"/>
      <c r="F27" s="17"/>
      <c r="G27" s="37"/>
      <c r="H27" s="17"/>
      <c r="I27" s="17"/>
      <c r="J27" s="17"/>
      <c r="K27" s="37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1"/>
      <c r="I29" s="30"/>
      <c r="M29" s="39"/>
    </row>
    <row r="30" spans="1:32" ht="15" x14ac:dyDescent="0.25">
      <c r="M30" s="40"/>
    </row>
    <row r="31" spans="1:32" ht="15" x14ac:dyDescent="0.25">
      <c r="M31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L22" sqref="L22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39" t="s">
        <v>329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2"/>
    </row>
    <row r="2" spans="1:35" x14ac:dyDescent="0.2">
      <c r="A2" s="343"/>
      <c r="B2" s="41"/>
      <c r="C2" s="41"/>
      <c r="D2" s="42" t="s">
        <v>61</v>
      </c>
      <c r="E2" s="42"/>
      <c r="F2" s="43"/>
      <c r="G2" s="41"/>
      <c r="H2" s="42"/>
      <c r="I2" s="345"/>
      <c r="J2" s="42"/>
      <c r="K2" s="41"/>
      <c r="L2" s="44"/>
      <c r="M2" s="19" t="s">
        <v>253</v>
      </c>
      <c r="N2" s="42"/>
      <c r="O2" s="41"/>
      <c r="P2" s="44"/>
      <c r="Q2" s="370"/>
      <c r="R2" s="33"/>
      <c r="AG2" s="22"/>
      <c r="AH2" s="22"/>
    </row>
    <row r="3" spans="1:35" x14ac:dyDescent="0.2">
      <c r="A3" s="343"/>
      <c r="B3" s="45"/>
      <c r="C3" s="46" t="s">
        <v>444</v>
      </c>
      <c r="D3" s="47"/>
      <c r="E3" s="371"/>
      <c r="F3" s="45"/>
      <c r="G3" s="46" t="s">
        <v>374</v>
      </c>
      <c r="H3" s="47"/>
      <c r="I3" s="345"/>
      <c r="J3" s="45"/>
      <c r="K3" s="146" t="str">
        <f>C3</f>
        <v>2024/25</v>
      </c>
      <c r="L3" s="47"/>
      <c r="M3" s="371"/>
      <c r="N3" s="45"/>
      <c r="O3" s="146" t="str">
        <f>G3</f>
        <v>2023/24</v>
      </c>
      <c r="P3" s="47"/>
      <c r="Q3" s="372"/>
      <c r="R3" s="33"/>
      <c r="AG3" s="22"/>
      <c r="AH3" s="22"/>
    </row>
    <row r="4" spans="1:35" x14ac:dyDescent="0.2">
      <c r="A4" s="347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73"/>
      <c r="R4" s="29"/>
      <c r="AH4" s="27"/>
    </row>
    <row r="5" spans="1:35" x14ac:dyDescent="0.2">
      <c r="A5" s="349"/>
      <c r="B5" s="27"/>
      <c r="C5" s="27"/>
      <c r="F5" s="27"/>
      <c r="G5" s="27"/>
      <c r="J5" s="27"/>
      <c r="K5" s="27"/>
      <c r="N5" s="27"/>
      <c r="O5" s="27"/>
      <c r="Q5" s="350"/>
      <c r="AH5" s="27"/>
    </row>
    <row r="6" spans="1:35" x14ac:dyDescent="0.2">
      <c r="A6" s="343"/>
      <c r="D6" s="353"/>
      <c r="H6" s="353"/>
      <c r="L6" s="263"/>
      <c r="P6" s="263"/>
      <c r="Q6" s="350"/>
      <c r="AG6" s="27"/>
      <c r="AH6" s="27"/>
      <c r="AI6" s="22"/>
    </row>
    <row r="7" spans="1:35" x14ac:dyDescent="0.2">
      <c r="A7" s="349" t="s">
        <v>47</v>
      </c>
      <c r="B7" s="50">
        <v>15.2</v>
      </c>
      <c r="C7" s="50"/>
      <c r="D7" s="352">
        <v>4450</v>
      </c>
      <c r="E7" s="374"/>
      <c r="F7" s="50">
        <v>16.899999999999999</v>
      </c>
      <c r="G7" s="50"/>
      <c r="H7" s="352">
        <v>3982</v>
      </c>
      <c r="J7" s="50">
        <v>20.6</v>
      </c>
      <c r="K7" s="50"/>
      <c r="L7" s="352">
        <v>1417</v>
      </c>
      <c r="N7" s="50">
        <v>39.299999999999997</v>
      </c>
      <c r="O7" s="50"/>
      <c r="P7" s="352">
        <v>1108</v>
      </c>
      <c r="Q7" s="350"/>
      <c r="R7" s="33"/>
    </row>
    <row r="8" spans="1:35" x14ac:dyDescent="0.2">
      <c r="A8" s="349" t="s">
        <v>48</v>
      </c>
      <c r="B8" s="50"/>
      <c r="C8" s="50"/>
      <c r="D8" s="352"/>
      <c r="E8" s="374"/>
      <c r="F8" s="50">
        <v>15.6</v>
      </c>
      <c r="G8" s="50"/>
      <c r="H8" s="352">
        <v>9492</v>
      </c>
      <c r="J8" s="50"/>
      <c r="K8" s="50"/>
      <c r="L8" s="352"/>
      <c r="N8" s="50">
        <v>30.3</v>
      </c>
      <c r="O8" s="50"/>
      <c r="P8" s="352">
        <v>1224</v>
      </c>
      <c r="Q8" s="350"/>
      <c r="R8" s="33"/>
      <c r="AG8" s="29"/>
      <c r="AI8" s="29"/>
    </row>
    <row r="9" spans="1:35" x14ac:dyDescent="0.2">
      <c r="A9" s="349" t="s">
        <v>49</v>
      </c>
      <c r="B9" s="50"/>
      <c r="C9" s="50"/>
      <c r="D9" s="352"/>
      <c r="E9" s="374"/>
      <c r="F9" s="50">
        <v>15.4</v>
      </c>
      <c r="G9" s="50"/>
      <c r="H9" s="352">
        <v>12004</v>
      </c>
      <c r="I9" s="353"/>
      <c r="J9" s="50"/>
      <c r="K9" s="50"/>
      <c r="L9" s="352"/>
      <c r="N9" s="50">
        <v>24.7</v>
      </c>
      <c r="O9" s="50"/>
      <c r="P9" s="352">
        <v>3145</v>
      </c>
      <c r="Q9" s="350"/>
      <c r="R9" s="29"/>
      <c r="AG9" s="29"/>
      <c r="AI9" s="29"/>
    </row>
    <row r="10" spans="1:35" x14ac:dyDescent="0.2">
      <c r="A10" s="349" t="s">
        <v>50</v>
      </c>
      <c r="B10" s="50"/>
      <c r="C10" s="50"/>
      <c r="D10" s="352"/>
      <c r="E10" s="374"/>
      <c r="F10" s="50">
        <v>15.6</v>
      </c>
      <c r="G10" s="50"/>
      <c r="H10" s="352">
        <v>12722</v>
      </c>
      <c r="J10" s="50"/>
      <c r="K10" s="50"/>
      <c r="L10" s="352"/>
      <c r="N10" s="50">
        <v>25.3</v>
      </c>
      <c r="O10" s="50"/>
      <c r="P10" s="352">
        <v>2202</v>
      </c>
      <c r="Q10" s="350"/>
      <c r="R10" s="29"/>
      <c r="AG10" s="29"/>
      <c r="AI10" s="29"/>
    </row>
    <row r="11" spans="1:35" x14ac:dyDescent="0.2">
      <c r="A11" s="349" t="s">
        <v>51</v>
      </c>
      <c r="B11" s="50"/>
      <c r="C11" s="50"/>
      <c r="D11" s="352"/>
      <c r="E11" s="374"/>
      <c r="F11" s="50">
        <v>15.7</v>
      </c>
      <c r="G11" s="50"/>
      <c r="H11" s="352">
        <v>9868</v>
      </c>
      <c r="J11" s="50"/>
      <c r="K11" s="50"/>
      <c r="L11" s="352"/>
      <c r="N11" s="50">
        <v>25.8</v>
      </c>
      <c r="O11" s="50"/>
      <c r="P11" s="352">
        <v>2236</v>
      </c>
      <c r="Q11" s="350"/>
      <c r="R11" s="29"/>
      <c r="AG11" s="29"/>
      <c r="AI11" s="29"/>
    </row>
    <row r="12" spans="1:35" x14ac:dyDescent="0.2">
      <c r="A12" s="349" t="s">
        <v>52</v>
      </c>
      <c r="B12" s="351"/>
      <c r="C12" s="355"/>
      <c r="D12" s="352"/>
      <c r="E12" s="374"/>
      <c r="F12" s="351">
        <v>16</v>
      </c>
      <c r="G12" s="355"/>
      <c r="H12" s="352">
        <v>13829</v>
      </c>
      <c r="J12" s="351"/>
      <c r="K12" s="355"/>
      <c r="L12" s="352"/>
      <c r="M12" s="363"/>
      <c r="N12" s="351">
        <v>28.4</v>
      </c>
      <c r="O12" s="355"/>
      <c r="P12" s="352">
        <v>5533</v>
      </c>
      <c r="Q12" s="356"/>
      <c r="R12" s="29"/>
      <c r="AG12" s="29"/>
      <c r="AI12" s="29"/>
    </row>
    <row r="13" spans="1:35" x14ac:dyDescent="0.2">
      <c r="A13" s="349" t="s">
        <v>70</v>
      </c>
      <c r="B13" s="351"/>
      <c r="C13" s="355"/>
      <c r="D13" s="352"/>
      <c r="E13" s="30"/>
      <c r="F13" s="351">
        <v>16.3</v>
      </c>
      <c r="G13" s="355"/>
      <c r="H13" s="352">
        <v>14297</v>
      </c>
      <c r="J13" s="351"/>
      <c r="K13" s="355"/>
      <c r="L13" s="352"/>
      <c r="M13" s="363"/>
      <c r="N13" s="351">
        <v>23.9</v>
      </c>
      <c r="O13" s="355"/>
      <c r="P13" s="352">
        <v>3373</v>
      </c>
      <c r="Q13" s="356"/>
      <c r="R13" s="29"/>
      <c r="AG13" s="29"/>
      <c r="AI13" s="29"/>
    </row>
    <row r="14" spans="1:35" x14ac:dyDescent="0.2">
      <c r="A14" s="349" t="s">
        <v>53</v>
      </c>
      <c r="B14" s="351"/>
      <c r="C14" s="355"/>
      <c r="D14" s="352"/>
      <c r="E14" s="374"/>
      <c r="F14" s="351">
        <v>16.3</v>
      </c>
      <c r="G14" s="355"/>
      <c r="H14" s="352">
        <v>9909</v>
      </c>
      <c r="J14" s="351"/>
      <c r="K14" s="355"/>
      <c r="L14" s="352"/>
      <c r="N14" s="351">
        <v>21.2</v>
      </c>
      <c r="O14" s="355"/>
      <c r="P14" s="352">
        <v>3082</v>
      </c>
      <c r="Q14" s="350"/>
      <c r="R14" s="29"/>
      <c r="AG14" s="29"/>
      <c r="AI14" s="29"/>
    </row>
    <row r="15" spans="1:35" x14ac:dyDescent="0.2">
      <c r="A15" s="349" t="s">
        <v>54</v>
      </c>
      <c r="B15" s="351"/>
      <c r="C15" s="355"/>
      <c r="D15" s="352"/>
      <c r="E15" s="374"/>
      <c r="F15" s="351">
        <v>16.399999999999999</v>
      </c>
      <c r="G15" s="355"/>
      <c r="H15" s="352">
        <v>8034</v>
      </c>
      <c r="J15" s="351"/>
      <c r="K15" s="355"/>
      <c r="L15" s="352"/>
      <c r="M15" s="363"/>
      <c r="N15" s="351">
        <v>21.5</v>
      </c>
      <c r="O15" s="355"/>
      <c r="P15" s="352">
        <v>2438</v>
      </c>
      <c r="Q15" s="356"/>
      <c r="R15" s="29"/>
      <c r="AG15" s="29"/>
      <c r="AI15" s="29"/>
    </row>
    <row r="16" spans="1:35" x14ac:dyDescent="0.2">
      <c r="A16" s="349" t="s">
        <v>62</v>
      </c>
      <c r="B16" s="351"/>
      <c r="C16" s="355"/>
      <c r="D16" s="352"/>
      <c r="E16" s="374"/>
      <c r="F16" s="351">
        <v>16.2</v>
      </c>
      <c r="G16" s="355"/>
      <c r="H16" s="352">
        <v>5284</v>
      </c>
      <c r="J16" s="351"/>
      <c r="K16" s="355"/>
      <c r="L16" s="352"/>
      <c r="N16" s="351">
        <v>21</v>
      </c>
      <c r="O16" s="355"/>
      <c r="P16" s="352">
        <v>1933</v>
      </c>
      <c r="Q16" s="350"/>
      <c r="R16" s="29"/>
      <c r="AG16" s="29"/>
      <c r="AI16" s="29"/>
    </row>
    <row r="17" spans="1:38" x14ac:dyDescent="0.2">
      <c r="A17" s="349" t="s">
        <v>56</v>
      </c>
      <c r="B17" s="351"/>
      <c r="C17" s="355"/>
      <c r="D17" s="352"/>
      <c r="E17" s="374"/>
      <c r="F17" s="351">
        <v>15.8</v>
      </c>
      <c r="G17" s="355"/>
      <c r="H17" s="352">
        <v>5140</v>
      </c>
      <c r="J17" s="351"/>
      <c r="K17" s="355"/>
      <c r="L17" s="352"/>
      <c r="M17" s="363"/>
      <c r="N17" s="351">
        <v>20.399999999999999</v>
      </c>
      <c r="O17" s="355"/>
      <c r="P17" s="352">
        <v>1739</v>
      </c>
      <c r="Q17" s="356"/>
      <c r="R17" s="29"/>
      <c r="AG17" s="29"/>
      <c r="AI17" s="29"/>
    </row>
    <row r="18" spans="1:38" x14ac:dyDescent="0.2">
      <c r="A18" s="349" t="s">
        <v>63</v>
      </c>
      <c r="B18" s="351"/>
      <c r="C18" s="355"/>
      <c r="D18" s="375"/>
      <c r="E18" s="374"/>
      <c r="F18" s="351">
        <v>15.6</v>
      </c>
      <c r="G18" s="355"/>
      <c r="H18" s="375">
        <v>5377</v>
      </c>
      <c r="J18" s="351"/>
      <c r="K18" s="355"/>
      <c r="L18" s="375"/>
      <c r="M18" s="363"/>
      <c r="N18" s="351">
        <v>20.3</v>
      </c>
      <c r="O18" s="355"/>
      <c r="P18" s="375">
        <v>1702</v>
      </c>
      <c r="Q18" s="356"/>
      <c r="R18" s="29"/>
      <c r="AG18" s="29"/>
      <c r="AI18" s="29"/>
    </row>
    <row r="19" spans="1:38" s="51" customFormat="1" x14ac:dyDescent="0.2">
      <c r="A19" s="376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77"/>
      <c r="R19" s="52"/>
      <c r="AG19" s="53"/>
      <c r="AI19" s="53"/>
    </row>
    <row r="20" spans="1:38" ht="12.6" customHeight="1" x14ac:dyDescent="0.2">
      <c r="A20" s="349" t="s">
        <v>487</v>
      </c>
      <c r="B20" s="705">
        <f>(B7*D7/D24)+(B8*D8/D24)+(B9*D9/D24)+(B10*D10/D24)+(B11*D11/D24)+(B12*D12/D24)+( B13*D13/D24)+(B14*D14/D24)+(B15*D15/D24)+(B16*D16/D24)+(B17*D17/D24)+(B18*D18/D24)</f>
        <v>15.2</v>
      </c>
      <c r="F20" s="705"/>
      <c r="J20" s="705">
        <f>(J7*L7/L24)+(J8*L8/L24)+(J9*L9/L24)+(J10*L10/L24)+(J11*L11/L24)+(J12*L12/L24)+( J13*L13/L24)+(J14*L14/L24)+(J15*L15/L24)+(J16*L16/L24)+(J17*L17/L24)+(J18*L18/L24)</f>
        <v>20.6</v>
      </c>
      <c r="K20" s="353"/>
      <c r="N20" s="705"/>
      <c r="O20" s="353"/>
      <c r="Q20" s="350"/>
      <c r="R20" s="54"/>
      <c r="AG20" s="29"/>
      <c r="AH20" s="27"/>
    </row>
    <row r="21" spans="1:38" x14ac:dyDescent="0.2">
      <c r="A21" s="343"/>
      <c r="C21" s="30"/>
      <c r="D21" s="30"/>
      <c r="E21" s="30"/>
      <c r="G21" s="30"/>
      <c r="H21" s="30"/>
      <c r="I21" s="30"/>
      <c r="K21" s="30"/>
      <c r="L21" s="30"/>
      <c r="M21" s="30"/>
      <c r="O21" s="30"/>
      <c r="P21" s="30"/>
      <c r="Q21" s="359"/>
      <c r="R21" s="30"/>
      <c r="AG21" s="29"/>
      <c r="AI21" s="29"/>
    </row>
    <row r="22" spans="1:38" x14ac:dyDescent="0.2">
      <c r="A22" s="349" t="s">
        <v>488</v>
      </c>
      <c r="B22" s="378">
        <v>14.5</v>
      </c>
      <c r="C22" s="353"/>
      <c r="F22" s="378">
        <v>15.9</v>
      </c>
      <c r="G22" s="353"/>
      <c r="J22" s="379">
        <v>19.600000000000001</v>
      </c>
      <c r="K22" s="27"/>
      <c r="N22" s="379">
        <v>24.2</v>
      </c>
      <c r="O22" s="27"/>
      <c r="Q22" s="350"/>
      <c r="R22" s="54"/>
      <c r="AG22" s="29"/>
      <c r="AH22" s="27"/>
    </row>
    <row r="23" spans="1:38" x14ac:dyDescent="0.2">
      <c r="A23" s="343" t="s">
        <v>58</v>
      </c>
      <c r="B23" s="363"/>
      <c r="C23" s="363"/>
      <c r="D23" s="380">
        <f>AVERAGE(D7:D18)</f>
        <v>4450</v>
      </c>
      <c r="E23" s="29"/>
      <c r="F23" s="363"/>
      <c r="G23" s="363"/>
      <c r="H23" s="380">
        <f>AVERAGE(H7:H18)</f>
        <v>9161.5</v>
      </c>
      <c r="J23" s="363"/>
      <c r="K23" s="379"/>
      <c r="L23" s="380">
        <f>AVERAGE(L7:L18)</f>
        <v>1417</v>
      </c>
      <c r="N23" s="363"/>
      <c r="O23" s="379"/>
      <c r="P23" s="380">
        <f>AVERAGE(P7:P18)</f>
        <v>2476.25</v>
      </c>
      <c r="Q23" s="350"/>
      <c r="R23" s="29"/>
      <c r="AG23" s="29"/>
      <c r="AI23" s="29"/>
    </row>
    <row r="24" spans="1:38" ht="12" thickBot="1" x14ac:dyDescent="0.25">
      <c r="A24" s="364" t="s">
        <v>59</v>
      </c>
      <c r="B24" s="366"/>
      <c r="C24" s="366"/>
      <c r="D24" s="381">
        <f>SUM(D7:D18)</f>
        <v>4450</v>
      </c>
      <c r="E24" s="382"/>
      <c r="F24" s="366"/>
      <c r="G24" s="366"/>
      <c r="H24" s="381">
        <f>SUM(H7:H18)</f>
        <v>109938</v>
      </c>
      <c r="I24" s="368"/>
      <c r="J24" s="366"/>
      <c r="K24" s="366"/>
      <c r="L24" s="381">
        <f>SUM(L7:L18)</f>
        <v>1417</v>
      </c>
      <c r="M24" s="368"/>
      <c r="N24" s="366"/>
      <c r="O24" s="366"/>
      <c r="P24" s="381">
        <f>SUM(P7:P18)</f>
        <v>29715</v>
      </c>
      <c r="Q24" s="369"/>
      <c r="R24" s="29"/>
      <c r="AG24" s="29"/>
      <c r="AH24" s="27"/>
      <c r="AI24" s="29"/>
    </row>
    <row r="25" spans="1:38" x14ac:dyDescent="0.2">
      <c r="A25" s="35" t="s">
        <v>422</v>
      </c>
      <c r="AK25" s="34"/>
      <c r="AL25" s="27"/>
    </row>
    <row r="26" spans="1:38" x14ac:dyDescent="0.2">
      <c r="A26" s="35" t="s">
        <v>254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405</v>
      </c>
      <c r="D28" s="55"/>
      <c r="E28" s="55"/>
      <c r="F28" s="55"/>
      <c r="G28" s="55"/>
    </row>
    <row r="29" spans="1:38" ht="14.25" customHeight="1" x14ac:dyDescent="0.2">
      <c r="A29" s="35" t="s">
        <v>461</v>
      </c>
      <c r="D29" s="55"/>
      <c r="E29" s="55"/>
      <c r="F29" s="55"/>
      <c r="G29" s="55"/>
    </row>
    <row r="30" spans="1:38" ht="14.25" customHeight="1" x14ac:dyDescent="0.2">
      <c r="A30" s="13" t="s">
        <v>408</v>
      </c>
      <c r="D30" s="55"/>
      <c r="E30" s="55"/>
      <c r="F30" s="55"/>
      <c r="G30" s="55"/>
    </row>
    <row r="31" spans="1:38" ht="14.25" customHeight="1" x14ac:dyDescent="0.2">
      <c r="A31" s="13" t="s">
        <v>489</v>
      </c>
      <c r="D31" s="55"/>
      <c r="E31" s="55"/>
      <c r="F31" s="55"/>
      <c r="G31" s="55"/>
    </row>
    <row r="32" spans="1:38" ht="12.75" customHeight="1" x14ac:dyDescent="0.2">
      <c r="A32" s="27" t="s">
        <v>437</v>
      </c>
      <c r="B32" s="36"/>
      <c r="F32" s="36"/>
      <c r="J32" s="36"/>
      <c r="N32" s="36"/>
      <c r="R32" s="36"/>
    </row>
    <row r="33" spans="1:38" x14ac:dyDescent="0.2">
      <c r="A33" s="6" t="s">
        <v>477</v>
      </c>
      <c r="B33" s="37"/>
      <c r="C33" s="17"/>
      <c r="D33" s="17"/>
      <c r="E33" s="17"/>
      <c r="F33" s="37"/>
      <c r="G33" s="17"/>
      <c r="H33" s="17"/>
      <c r="I33" s="17"/>
      <c r="K33" s="17"/>
      <c r="L33" s="17"/>
      <c r="M33" s="17"/>
      <c r="O33" s="17"/>
      <c r="P33" s="17"/>
      <c r="Q33" s="17"/>
      <c r="R33" s="37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7"/>
      <c r="AK36" s="34"/>
      <c r="AL36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G9" sqref="G9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39" t="s">
        <v>315</v>
      </c>
      <c r="B1" s="340"/>
      <c r="C1" s="340"/>
      <c r="D1" s="340"/>
      <c r="E1" s="340"/>
      <c r="F1" s="340"/>
      <c r="G1" s="340"/>
      <c r="H1" s="340"/>
      <c r="I1" s="34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83"/>
      <c r="B2" s="384"/>
      <c r="C2" s="384"/>
      <c r="D2" s="384"/>
      <c r="E2" s="384"/>
      <c r="F2" s="384"/>
      <c r="G2" s="384"/>
      <c r="H2" s="384"/>
      <c r="I2" s="385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43"/>
      <c r="B3" s="15" t="s">
        <v>64</v>
      </c>
      <c r="C3" s="15"/>
      <c r="D3" s="15"/>
      <c r="E3" s="345"/>
      <c r="F3" s="345"/>
      <c r="G3" s="15" t="s">
        <v>250</v>
      </c>
      <c r="H3" s="15"/>
      <c r="I3" s="348"/>
      <c r="J3" s="56"/>
      <c r="K3" s="16"/>
      <c r="L3" s="16"/>
      <c r="M3" s="60"/>
      <c r="P3" s="60"/>
      <c r="S3" s="61"/>
    </row>
    <row r="4" spans="1:56" x14ac:dyDescent="0.2">
      <c r="A4" s="347" t="s">
        <v>44</v>
      </c>
      <c r="B4" s="26" t="s">
        <v>374</v>
      </c>
      <c r="C4" s="26"/>
      <c r="D4" s="26" t="s">
        <v>334</v>
      </c>
      <c r="E4" s="26"/>
      <c r="F4" s="23" t="s">
        <v>44</v>
      </c>
      <c r="G4" s="26" t="s">
        <v>374</v>
      </c>
      <c r="H4" s="26"/>
      <c r="I4" s="386" t="s">
        <v>374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387"/>
      <c r="B5" s="56"/>
      <c r="C5" s="56"/>
      <c r="D5" s="56"/>
      <c r="E5" s="56"/>
      <c r="F5" s="56"/>
      <c r="G5" s="56"/>
      <c r="H5" s="56"/>
      <c r="I5" s="388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389"/>
      <c r="C6" s="390" t="s">
        <v>22</v>
      </c>
      <c r="E6" s="32"/>
      <c r="F6" s="32"/>
      <c r="G6" s="32"/>
      <c r="H6" s="390" t="s">
        <v>22</v>
      </c>
      <c r="I6" s="391"/>
      <c r="K6" s="27"/>
      <c r="X6" s="27"/>
      <c r="AI6" s="27"/>
    </row>
    <row r="7" spans="1:56" x14ac:dyDescent="0.2">
      <c r="A7" s="389"/>
      <c r="I7" s="350"/>
      <c r="K7" s="27"/>
      <c r="X7" s="27"/>
      <c r="AI7" s="27"/>
    </row>
    <row r="8" spans="1:56" ht="15.9" customHeight="1" x14ac:dyDescent="0.2">
      <c r="A8" s="392" t="s">
        <v>65</v>
      </c>
      <c r="B8" s="50">
        <v>33.6</v>
      </c>
      <c r="C8" s="50"/>
      <c r="D8" s="50">
        <v>41.9</v>
      </c>
      <c r="F8" s="27" t="s">
        <v>47</v>
      </c>
      <c r="G8" s="50">
        <v>15.1</v>
      </c>
      <c r="H8" s="50"/>
      <c r="I8" s="393">
        <v>21.3</v>
      </c>
      <c r="J8" s="50"/>
      <c r="K8" s="27"/>
      <c r="X8" s="27"/>
      <c r="AH8" s="27"/>
      <c r="AI8" s="27"/>
    </row>
    <row r="9" spans="1:56" x14ac:dyDescent="0.2">
      <c r="A9" s="394" t="s">
        <v>66</v>
      </c>
      <c r="B9" s="50">
        <v>33.299999999999997</v>
      </c>
      <c r="C9" s="50"/>
      <c r="D9" s="50">
        <v>39.6</v>
      </c>
      <c r="F9" s="27" t="s">
        <v>67</v>
      </c>
      <c r="G9" s="50"/>
      <c r="H9" s="50"/>
      <c r="I9" s="393">
        <v>18.3</v>
      </c>
      <c r="J9" s="50"/>
      <c r="K9" s="27"/>
      <c r="X9" s="27"/>
      <c r="AH9" s="27"/>
      <c r="AI9" s="27"/>
    </row>
    <row r="10" spans="1:56" x14ac:dyDescent="0.2">
      <c r="A10" s="394" t="s">
        <v>68</v>
      </c>
      <c r="B10" s="50">
        <v>32.9</v>
      </c>
      <c r="C10" s="50"/>
      <c r="D10" s="50">
        <v>40.1</v>
      </c>
      <c r="F10" s="27" t="s">
        <v>65</v>
      </c>
      <c r="G10" s="50"/>
      <c r="H10" s="50"/>
      <c r="I10" s="393">
        <v>18.899999999999999</v>
      </c>
      <c r="J10" s="50"/>
      <c r="K10" s="27"/>
      <c r="X10" s="27"/>
      <c r="AH10" s="27"/>
      <c r="AI10" s="27"/>
    </row>
    <row r="11" spans="1:56" x14ac:dyDescent="0.2">
      <c r="A11" s="394" t="s">
        <v>69</v>
      </c>
      <c r="B11" s="395">
        <v>33.1</v>
      </c>
      <c r="C11" s="50"/>
      <c r="D11" s="395">
        <v>41.9</v>
      </c>
      <c r="F11" s="35" t="s">
        <v>66</v>
      </c>
      <c r="G11" s="50"/>
      <c r="H11" s="50"/>
      <c r="I11" s="393">
        <v>16.7</v>
      </c>
      <c r="J11" s="50"/>
      <c r="K11" s="27"/>
      <c r="X11" s="27"/>
      <c r="AH11" s="27"/>
      <c r="AI11" s="27"/>
    </row>
    <row r="12" spans="1:56" x14ac:dyDescent="0.2">
      <c r="A12" s="394" t="s">
        <v>70</v>
      </c>
      <c r="B12" s="395">
        <v>29.4</v>
      </c>
      <c r="C12" s="50"/>
      <c r="D12" s="395">
        <v>41.7</v>
      </c>
      <c r="F12" s="35" t="s">
        <v>68</v>
      </c>
      <c r="G12" s="50"/>
      <c r="H12" s="50"/>
      <c r="I12" s="393">
        <v>17.2</v>
      </c>
      <c r="J12" s="50"/>
      <c r="K12" s="27"/>
      <c r="X12" s="27"/>
      <c r="AH12" s="27"/>
      <c r="AI12" s="27"/>
    </row>
    <row r="13" spans="1:56" x14ac:dyDescent="0.2">
      <c r="A13" s="394" t="s">
        <v>71</v>
      </c>
      <c r="B13" s="395">
        <v>24.5</v>
      </c>
      <c r="D13" s="395">
        <v>40.9</v>
      </c>
      <c r="F13" s="35" t="s">
        <v>69</v>
      </c>
      <c r="G13" s="50"/>
      <c r="I13" s="393">
        <v>18.2</v>
      </c>
      <c r="K13" s="27"/>
      <c r="X13" s="27"/>
      <c r="AH13" s="27"/>
      <c r="AI13" s="27"/>
    </row>
    <row r="14" spans="1:56" x14ac:dyDescent="0.2">
      <c r="A14" s="394" t="s">
        <v>72</v>
      </c>
      <c r="B14" s="395">
        <v>24.9</v>
      </c>
      <c r="D14" s="395">
        <v>40.9</v>
      </c>
      <c r="F14" s="35" t="s">
        <v>70</v>
      </c>
      <c r="G14" s="50"/>
      <c r="I14" s="393">
        <v>18.2</v>
      </c>
      <c r="K14" s="27"/>
      <c r="X14" s="27"/>
      <c r="AH14" s="27"/>
      <c r="AI14" s="27"/>
    </row>
    <row r="15" spans="1:56" x14ac:dyDescent="0.2">
      <c r="A15" s="392" t="s">
        <v>55</v>
      </c>
      <c r="B15" s="395">
        <v>23.7</v>
      </c>
      <c r="D15" s="395">
        <v>41.2</v>
      </c>
      <c r="F15" s="35" t="s">
        <v>71</v>
      </c>
      <c r="G15" s="50"/>
      <c r="I15" s="393">
        <v>17.2</v>
      </c>
      <c r="K15" s="27"/>
      <c r="X15" s="27"/>
      <c r="AH15" s="27"/>
      <c r="AI15" s="27"/>
    </row>
    <row r="16" spans="1:56" x14ac:dyDescent="0.2">
      <c r="A16" s="394" t="s">
        <v>73</v>
      </c>
      <c r="B16" s="395">
        <v>22.3</v>
      </c>
      <c r="D16" s="395">
        <v>40.6</v>
      </c>
      <c r="F16" s="35" t="s">
        <v>72</v>
      </c>
      <c r="G16" s="50"/>
      <c r="I16" s="393">
        <v>17.3</v>
      </c>
      <c r="K16" s="27"/>
      <c r="X16" s="27"/>
      <c r="AH16" s="27"/>
      <c r="AI16" s="27"/>
    </row>
    <row r="17" spans="1:38" x14ac:dyDescent="0.2">
      <c r="A17" s="394" t="s">
        <v>63</v>
      </c>
      <c r="B17" s="395">
        <v>22.2</v>
      </c>
      <c r="D17" s="395">
        <v>40.700000000000003</v>
      </c>
      <c r="F17" s="27" t="s">
        <v>55</v>
      </c>
      <c r="G17" s="50"/>
      <c r="I17" s="393">
        <v>15.8</v>
      </c>
      <c r="K17" s="27"/>
      <c r="X17" s="27"/>
      <c r="AH17" s="27"/>
      <c r="AI17" s="27"/>
    </row>
    <row r="18" spans="1:38" x14ac:dyDescent="0.2">
      <c r="A18" s="392" t="s">
        <v>47</v>
      </c>
      <c r="B18" s="395">
        <v>20.8</v>
      </c>
      <c r="D18" s="395">
        <v>40.6</v>
      </c>
      <c r="F18" s="35" t="s">
        <v>73</v>
      </c>
      <c r="G18" s="50"/>
      <c r="I18" s="393">
        <v>14.9</v>
      </c>
      <c r="K18" s="27"/>
      <c r="X18" s="27"/>
      <c r="AH18" s="27"/>
      <c r="AI18" s="27"/>
    </row>
    <row r="19" spans="1:38" x14ac:dyDescent="0.2">
      <c r="A19" s="392" t="s">
        <v>67</v>
      </c>
      <c r="B19" s="395"/>
      <c r="D19" s="395">
        <v>40.9</v>
      </c>
      <c r="F19" s="35" t="s">
        <v>63</v>
      </c>
      <c r="G19" s="50"/>
      <c r="I19" s="393">
        <v>14.6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392"/>
      <c r="B20" s="395"/>
      <c r="D20" s="395"/>
      <c r="F20" s="35"/>
      <c r="G20" s="50"/>
      <c r="I20" s="393"/>
      <c r="K20" s="27"/>
      <c r="U20" s="27"/>
      <c r="X20" s="27"/>
      <c r="AH20" s="27"/>
      <c r="AI20" s="27"/>
    </row>
    <row r="21" spans="1:38" ht="13.5" customHeight="1" x14ac:dyDescent="0.2">
      <c r="A21" s="396" t="s">
        <v>386</v>
      </c>
      <c r="B21" s="16">
        <f>AVERAGE(B8:B19)</f>
        <v>27.336363636363636</v>
      </c>
      <c r="I21" s="350"/>
      <c r="K21" s="27"/>
      <c r="X21" s="27"/>
      <c r="AI21" s="27"/>
      <c r="AJ21" s="27"/>
      <c r="AK21" s="27"/>
      <c r="AL21" s="27"/>
    </row>
    <row r="22" spans="1:38" ht="13.5" customHeight="1" x14ac:dyDescent="0.2">
      <c r="A22" s="396"/>
      <c r="I22" s="350"/>
      <c r="K22" s="27"/>
      <c r="X22" s="27"/>
      <c r="AI22" s="27"/>
      <c r="AJ22" s="27"/>
      <c r="AK22" s="27"/>
      <c r="AL22" s="27"/>
    </row>
    <row r="23" spans="1:38" x14ac:dyDescent="0.2">
      <c r="A23" s="396" t="s">
        <v>74</v>
      </c>
      <c r="I23" s="350"/>
      <c r="K23" s="27"/>
      <c r="X23" s="27"/>
      <c r="AI23" s="27"/>
      <c r="AJ23" s="27"/>
      <c r="AK23" s="27"/>
      <c r="AL23" s="27"/>
    </row>
    <row r="24" spans="1:38" x14ac:dyDescent="0.2">
      <c r="A24" s="392" t="s">
        <v>75</v>
      </c>
      <c r="B24" s="363">
        <v>28</v>
      </c>
      <c r="C24" s="32" t="s">
        <v>244</v>
      </c>
      <c r="D24" s="363">
        <v>40.9</v>
      </c>
      <c r="G24" s="378">
        <v>14.5</v>
      </c>
      <c r="H24" s="32" t="s">
        <v>244</v>
      </c>
      <c r="I24" s="397">
        <v>17.5</v>
      </c>
      <c r="K24" s="27"/>
      <c r="X24" s="27"/>
      <c r="AH24" s="27"/>
      <c r="AI24" s="27"/>
    </row>
    <row r="25" spans="1:38" ht="12" thickBot="1" x14ac:dyDescent="0.25">
      <c r="A25" s="398"/>
      <c r="B25" s="399"/>
      <c r="C25" s="399"/>
      <c r="D25" s="399"/>
      <c r="E25" s="399"/>
      <c r="F25" s="399"/>
      <c r="G25" s="399"/>
      <c r="H25" s="399"/>
      <c r="I25" s="400"/>
      <c r="K25" s="27"/>
      <c r="X25" s="27"/>
      <c r="AH25" s="27"/>
      <c r="AI25" s="27"/>
    </row>
    <row r="26" spans="1:38" ht="15.9" customHeight="1" x14ac:dyDescent="0.2">
      <c r="A26" s="35" t="s">
        <v>424</v>
      </c>
      <c r="K26" s="27"/>
      <c r="X26" s="27"/>
      <c r="AH26" s="27"/>
      <c r="AI26" s="27"/>
    </row>
    <row r="27" spans="1:38" ht="14.4" customHeight="1" x14ac:dyDescent="0.2">
      <c r="A27" s="35" t="s">
        <v>423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443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438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477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C11" sqref="C11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669" t="s">
        <v>316</v>
      </c>
      <c r="B1" s="18"/>
      <c r="C1" s="18"/>
      <c r="D1" s="18"/>
      <c r="E1" s="18"/>
      <c r="F1" s="18"/>
      <c r="G1" s="18"/>
      <c r="H1" s="18"/>
      <c r="I1" s="67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71"/>
      <c r="B2" s="726" t="s">
        <v>444</v>
      </c>
      <c r="C2" s="726"/>
      <c r="D2" s="344"/>
      <c r="E2" s="726" t="s">
        <v>374</v>
      </c>
      <c r="F2" s="726"/>
      <c r="G2" s="345"/>
      <c r="H2" s="726" t="s">
        <v>334</v>
      </c>
      <c r="I2" s="727"/>
      <c r="L2" s="35"/>
      <c r="Q2" s="27"/>
      <c r="AB2" s="27"/>
      <c r="AD2" s="27"/>
      <c r="AH2" s="27"/>
    </row>
    <row r="3" spans="1:49" s="269" customFormat="1" x14ac:dyDescent="0.2">
      <c r="A3" s="672"/>
      <c r="B3" s="673"/>
      <c r="C3" s="674" t="s">
        <v>281</v>
      </c>
      <c r="D3" s="673"/>
      <c r="E3" s="673"/>
      <c r="F3" s="674" t="s">
        <v>281</v>
      </c>
      <c r="G3" s="673"/>
      <c r="H3" s="673"/>
      <c r="I3" s="675" t="s">
        <v>281</v>
      </c>
      <c r="K3" s="16"/>
      <c r="L3" s="35"/>
      <c r="M3" s="16"/>
      <c r="N3" s="16"/>
    </row>
    <row r="4" spans="1:49" x14ac:dyDescent="0.2">
      <c r="A4" s="676" t="s">
        <v>44</v>
      </c>
      <c r="B4" s="64" t="s">
        <v>76</v>
      </c>
      <c r="C4" s="64" t="s">
        <v>77</v>
      </c>
      <c r="D4" s="23"/>
      <c r="E4" s="64" t="s">
        <v>76</v>
      </c>
      <c r="F4" s="64" t="s">
        <v>77</v>
      </c>
      <c r="G4" s="15"/>
      <c r="H4" s="64" t="s">
        <v>76</v>
      </c>
      <c r="I4" s="677" t="s">
        <v>77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688"/>
      <c r="B5" s="681"/>
      <c r="C5" s="681"/>
      <c r="D5" s="682"/>
      <c r="E5" s="681"/>
      <c r="F5" s="681"/>
      <c r="G5" s="683"/>
      <c r="H5" s="681"/>
      <c r="I5" s="684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689"/>
      <c r="B6" s="728" t="s">
        <v>78</v>
      </c>
      <c r="C6" s="728"/>
      <c r="D6" s="728"/>
      <c r="E6" s="728"/>
      <c r="F6" s="728"/>
      <c r="G6" s="728"/>
      <c r="H6" s="728"/>
      <c r="I6" s="729"/>
      <c r="J6" s="32"/>
      <c r="K6" s="32"/>
      <c r="L6" s="32"/>
      <c r="M6" s="32"/>
      <c r="Q6" s="27"/>
      <c r="AB6" s="27"/>
    </row>
    <row r="7" spans="1:49" x14ac:dyDescent="0.2">
      <c r="A7" s="690"/>
      <c r="D7" s="27"/>
      <c r="I7" s="678"/>
      <c r="Q7" s="27"/>
      <c r="AB7" s="27"/>
    </row>
    <row r="8" spans="1:49" x14ac:dyDescent="0.2">
      <c r="A8" s="691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678">
        <v>9.91</v>
      </c>
      <c r="Q8" s="27"/>
      <c r="AA8" s="27"/>
      <c r="AB8" s="27"/>
    </row>
    <row r="9" spans="1:49" x14ac:dyDescent="0.2">
      <c r="A9" s="691" t="s">
        <v>67</v>
      </c>
      <c r="B9" s="16">
        <v>14.42</v>
      </c>
      <c r="C9" s="16">
        <v>15.6</v>
      </c>
      <c r="D9" s="27"/>
      <c r="E9" s="16">
        <v>15.07</v>
      </c>
      <c r="F9" s="16">
        <v>15.7</v>
      </c>
      <c r="H9" s="16">
        <v>9.82</v>
      </c>
      <c r="I9" s="678">
        <v>10.199999999999999</v>
      </c>
      <c r="Q9" s="27"/>
      <c r="AA9" s="27"/>
      <c r="AB9" s="27"/>
    </row>
    <row r="10" spans="1:49" x14ac:dyDescent="0.2">
      <c r="A10" s="691" t="s">
        <v>486</v>
      </c>
      <c r="B10" s="16">
        <v>13.93</v>
      </c>
      <c r="C10" s="16">
        <v>14.54</v>
      </c>
      <c r="D10" s="27"/>
      <c r="E10" s="16">
        <v>14.73</v>
      </c>
      <c r="F10" s="16">
        <v>15.35</v>
      </c>
      <c r="H10" s="16">
        <v>10.43</v>
      </c>
      <c r="I10" s="678">
        <v>10.8</v>
      </c>
      <c r="Q10" s="27"/>
      <c r="AA10" s="27"/>
      <c r="AB10" s="27"/>
    </row>
    <row r="11" spans="1:49" x14ac:dyDescent="0.2">
      <c r="A11" s="692" t="s">
        <v>399</v>
      </c>
      <c r="D11" s="27"/>
      <c r="E11" s="16">
        <v>14.98</v>
      </c>
      <c r="F11" s="16">
        <v>15.6</v>
      </c>
      <c r="H11" s="16">
        <v>10.61</v>
      </c>
      <c r="I11" s="678">
        <v>11</v>
      </c>
      <c r="Q11" s="27"/>
      <c r="AA11" s="27"/>
      <c r="AB11" s="27"/>
    </row>
    <row r="12" spans="1:49" x14ac:dyDescent="0.2">
      <c r="A12" s="692" t="s">
        <v>402</v>
      </c>
      <c r="D12" s="27"/>
      <c r="E12" s="16">
        <v>15.36</v>
      </c>
      <c r="F12" s="16">
        <v>16.010000000000002</v>
      </c>
      <c r="H12" s="16">
        <v>10.8</v>
      </c>
      <c r="I12" s="678">
        <v>11.19</v>
      </c>
      <c r="Q12" s="27"/>
      <c r="AA12" s="27"/>
      <c r="AB12" s="27"/>
    </row>
    <row r="13" spans="1:49" x14ac:dyDescent="0.2">
      <c r="A13" s="692" t="s">
        <v>69</v>
      </c>
      <c r="D13" s="27"/>
      <c r="E13" s="16">
        <v>15.67</v>
      </c>
      <c r="F13" s="16">
        <v>16.34</v>
      </c>
      <c r="H13" s="16">
        <v>10.81</v>
      </c>
      <c r="I13" s="678">
        <v>11.2</v>
      </c>
      <c r="Q13" s="27"/>
      <c r="AA13" s="27"/>
      <c r="AB13" s="27"/>
    </row>
    <row r="14" spans="1:49" x14ac:dyDescent="0.2">
      <c r="A14" s="692" t="s">
        <v>70</v>
      </c>
      <c r="D14" s="27"/>
      <c r="E14" s="16">
        <v>16.71</v>
      </c>
      <c r="F14" s="16">
        <v>16.59</v>
      </c>
      <c r="H14" s="16">
        <v>11.46</v>
      </c>
      <c r="I14" s="678">
        <v>11.95</v>
      </c>
      <c r="Q14" s="27"/>
      <c r="AA14" s="27"/>
      <c r="AB14" s="27"/>
    </row>
    <row r="15" spans="1:49" x14ac:dyDescent="0.2">
      <c r="A15" s="692" t="s">
        <v>71</v>
      </c>
      <c r="D15" s="27"/>
      <c r="E15" s="16">
        <v>14.94</v>
      </c>
      <c r="F15" s="16">
        <v>16.21</v>
      </c>
      <c r="H15" s="16">
        <v>11.33</v>
      </c>
      <c r="I15" s="678">
        <v>12.02</v>
      </c>
      <c r="Q15" s="27"/>
      <c r="AA15" s="27"/>
      <c r="AB15" s="27"/>
    </row>
    <row r="16" spans="1:49" x14ac:dyDescent="0.2">
      <c r="A16" s="692" t="s">
        <v>72</v>
      </c>
      <c r="D16" s="27"/>
      <c r="E16" s="16">
        <v>14.8</v>
      </c>
      <c r="F16" s="16">
        <v>16.05</v>
      </c>
      <c r="H16" s="16">
        <v>11.43</v>
      </c>
      <c r="I16" s="678">
        <v>12.12</v>
      </c>
      <c r="Q16" s="27"/>
      <c r="AA16" s="27"/>
      <c r="AB16" s="27"/>
    </row>
    <row r="17" spans="1:49" x14ac:dyDescent="0.2">
      <c r="A17" s="691" t="s">
        <v>55</v>
      </c>
      <c r="D17" s="27"/>
      <c r="E17" s="16">
        <v>14.69</v>
      </c>
      <c r="F17" s="16">
        <v>15.94</v>
      </c>
      <c r="H17" s="16">
        <v>11.6</v>
      </c>
      <c r="I17" s="678">
        <v>12.31</v>
      </c>
      <c r="Q17" s="27"/>
      <c r="AA17" s="27"/>
      <c r="AB17" s="27"/>
    </row>
    <row r="18" spans="1:49" x14ac:dyDescent="0.2">
      <c r="A18" s="692" t="s">
        <v>73</v>
      </c>
      <c r="D18" s="27"/>
      <c r="E18" s="16">
        <v>14.67</v>
      </c>
      <c r="F18" s="16">
        <v>15.92</v>
      </c>
      <c r="H18" s="16">
        <v>11.73</v>
      </c>
      <c r="I18" s="678">
        <v>12.45</v>
      </c>
      <c r="Q18" s="27"/>
      <c r="AA18" s="27"/>
      <c r="AB18" s="27"/>
    </row>
    <row r="19" spans="1:49" x14ac:dyDescent="0.2">
      <c r="A19" s="692" t="s">
        <v>63</v>
      </c>
      <c r="D19" s="27"/>
      <c r="E19" s="16">
        <v>14.66</v>
      </c>
      <c r="F19" s="16">
        <v>15.71</v>
      </c>
      <c r="H19" s="16">
        <v>12.25</v>
      </c>
      <c r="I19" s="678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671"/>
      <c r="B20" s="685"/>
      <c r="D20" s="27"/>
      <c r="I20" s="678"/>
      <c r="Q20" s="27"/>
      <c r="AB20" s="27"/>
      <c r="AC20" s="27"/>
      <c r="AD20" s="27"/>
      <c r="AE20" s="27"/>
    </row>
    <row r="21" spans="1:49" x14ac:dyDescent="0.2">
      <c r="A21" s="671" t="s">
        <v>74</v>
      </c>
      <c r="B21" s="685"/>
      <c r="D21" s="27"/>
      <c r="I21" s="678"/>
      <c r="Q21" s="27"/>
      <c r="AB21" s="27"/>
      <c r="AC21" s="27"/>
      <c r="AD21" s="27"/>
      <c r="AE21" s="27"/>
    </row>
    <row r="22" spans="1:49" s="51" customFormat="1" x14ac:dyDescent="0.2">
      <c r="A22" s="686" t="s">
        <v>249</v>
      </c>
      <c r="B22" s="687">
        <f>AVERAGE(B8:B19)</f>
        <v>14.416666666666666</v>
      </c>
      <c r="C22" s="51">
        <f>AVERAGE(C8:C19)</f>
        <v>15.200000000000001</v>
      </c>
      <c r="D22" s="679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680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426</v>
      </c>
      <c r="AA23" s="27"/>
    </row>
    <row r="24" spans="1:49" ht="12.75" customHeight="1" x14ac:dyDescent="0.2">
      <c r="A24" s="35" t="s">
        <v>425</v>
      </c>
      <c r="AA24" s="27"/>
    </row>
    <row r="25" spans="1:49" ht="11.25" customHeight="1" x14ac:dyDescent="0.2">
      <c r="A25" s="16" t="s">
        <v>468</v>
      </c>
      <c r="AA25" s="27"/>
    </row>
    <row r="26" spans="1:49" ht="11.25" customHeight="1" x14ac:dyDescent="0.2">
      <c r="A26" s="16" t="s">
        <v>324</v>
      </c>
      <c r="AA26" s="27"/>
    </row>
    <row r="27" spans="1:49" ht="10.5" customHeight="1" x14ac:dyDescent="0.2">
      <c r="A27" s="6" t="s">
        <v>477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 codeName="Sheet7">
    <pageSetUpPr fitToPage="1"/>
  </sheetPr>
  <dimension ref="A1:T94"/>
  <sheetViews>
    <sheetView showGridLines="0" zoomScale="148" zoomScaleNormal="12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O94" sqref="O94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8.21875" style="72" customWidth="1"/>
    <col min="15" max="15" width="9.5546875" style="72" customWidth="1"/>
    <col min="16" max="16" width="10.88671875" style="142" customWidth="1"/>
    <col min="17" max="17" width="11.44140625" style="288" customWidth="1"/>
    <col min="18" max="19" width="8.6640625" style="67"/>
    <col min="20" max="20" width="8.6640625" style="67" customWidth="1"/>
    <col min="21" max="251" width="8.6640625" style="67"/>
    <col min="252" max="252" width="34.77734375" style="67" customWidth="1"/>
    <col min="253" max="253" width="10.77734375" style="67" customWidth="1"/>
    <col min="254" max="254" width="11.33203125" style="67" customWidth="1"/>
    <col min="255" max="255" width="12.21875" style="67" customWidth="1"/>
    <col min="256" max="256" width="13" style="67" customWidth="1"/>
    <col min="257" max="257" width="12.6640625" style="67" customWidth="1"/>
    <col min="258" max="258" width="14.21875" style="67" customWidth="1"/>
    <col min="259" max="260" width="13.33203125" style="67" customWidth="1"/>
    <col min="261" max="261" width="13.88671875" style="67" customWidth="1"/>
    <col min="262" max="270" width="9.6640625" style="67" customWidth="1"/>
    <col min="271" max="271" width="12.6640625" style="67" customWidth="1"/>
    <col min="272" max="507" width="8.6640625" style="67"/>
    <col min="508" max="508" width="34.77734375" style="67" customWidth="1"/>
    <col min="509" max="509" width="10.77734375" style="67" customWidth="1"/>
    <col min="510" max="510" width="11.33203125" style="67" customWidth="1"/>
    <col min="511" max="511" width="12.21875" style="67" customWidth="1"/>
    <col min="512" max="512" width="13" style="67" customWidth="1"/>
    <col min="513" max="513" width="12.6640625" style="67" customWidth="1"/>
    <col min="514" max="514" width="14.21875" style="67" customWidth="1"/>
    <col min="515" max="516" width="13.33203125" style="67" customWidth="1"/>
    <col min="517" max="517" width="13.88671875" style="67" customWidth="1"/>
    <col min="518" max="526" width="9.6640625" style="67" customWidth="1"/>
    <col min="527" max="527" width="12.6640625" style="67" customWidth="1"/>
    <col min="528" max="763" width="8.6640625" style="67"/>
    <col min="764" max="764" width="34.77734375" style="67" customWidth="1"/>
    <col min="765" max="765" width="10.77734375" style="67" customWidth="1"/>
    <col min="766" max="766" width="11.33203125" style="67" customWidth="1"/>
    <col min="767" max="767" width="12.21875" style="67" customWidth="1"/>
    <col min="768" max="768" width="13" style="67" customWidth="1"/>
    <col min="769" max="769" width="12.6640625" style="67" customWidth="1"/>
    <col min="770" max="770" width="14.21875" style="67" customWidth="1"/>
    <col min="771" max="772" width="13.33203125" style="67" customWidth="1"/>
    <col min="773" max="773" width="13.88671875" style="67" customWidth="1"/>
    <col min="774" max="782" width="9.6640625" style="67" customWidth="1"/>
    <col min="783" max="783" width="12.6640625" style="67" customWidth="1"/>
    <col min="784" max="1019" width="8.6640625" style="67"/>
    <col min="1020" max="1020" width="34.77734375" style="67" customWidth="1"/>
    <col min="1021" max="1021" width="10.77734375" style="67" customWidth="1"/>
    <col min="1022" max="1022" width="11.33203125" style="67" customWidth="1"/>
    <col min="1023" max="1023" width="12.21875" style="67" customWidth="1"/>
    <col min="1024" max="1024" width="13" style="67" customWidth="1"/>
    <col min="1025" max="1025" width="12.6640625" style="67" customWidth="1"/>
    <col min="1026" max="1026" width="14.21875" style="67" customWidth="1"/>
    <col min="1027" max="1028" width="13.33203125" style="67" customWidth="1"/>
    <col min="1029" max="1029" width="13.88671875" style="67" customWidth="1"/>
    <col min="1030" max="1038" width="9.6640625" style="67" customWidth="1"/>
    <col min="1039" max="1039" width="12.6640625" style="67" customWidth="1"/>
    <col min="1040" max="1275" width="8.6640625" style="67"/>
    <col min="1276" max="1276" width="34.77734375" style="67" customWidth="1"/>
    <col min="1277" max="1277" width="10.77734375" style="67" customWidth="1"/>
    <col min="1278" max="1278" width="11.33203125" style="67" customWidth="1"/>
    <col min="1279" max="1279" width="12.21875" style="67" customWidth="1"/>
    <col min="1280" max="1280" width="13" style="67" customWidth="1"/>
    <col min="1281" max="1281" width="12.6640625" style="67" customWidth="1"/>
    <col min="1282" max="1282" width="14.21875" style="67" customWidth="1"/>
    <col min="1283" max="1284" width="13.33203125" style="67" customWidth="1"/>
    <col min="1285" max="1285" width="13.88671875" style="67" customWidth="1"/>
    <col min="1286" max="1294" width="9.6640625" style="67" customWidth="1"/>
    <col min="1295" max="1295" width="12.6640625" style="67" customWidth="1"/>
    <col min="1296" max="1531" width="8.6640625" style="67"/>
    <col min="1532" max="1532" width="34.77734375" style="67" customWidth="1"/>
    <col min="1533" max="1533" width="10.77734375" style="67" customWidth="1"/>
    <col min="1534" max="1534" width="11.33203125" style="67" customWidth="1"/>
    <col min="1535" max="1535" width="12.21875" style="67" customWidth="1"/>
    <col min="1536" max="1536" width="13" style="67" customWidth="1"/>
    <col min="1537" max="1537" width="12.6640625" style="67" customWidth="1"/>
    <col min="1538" max="1538" width="14.21875" style="67" customWidth="1"/>
    <col min="1539" max="1540" width="13.33203125" style="67" customWidth="1"/>
    <col min="1541" max="1541" width="13.88671875" style="67" customWidth="1"/>
    <col min="1542" max="1550" width="9.6640625" style="67" customWidth="1"/>
    <col min="1551" max="1551" width="12.6640625" style="67" customWidth="1"/>
    <col min="1552" max="1787" width="8.6640625" style="67"/>
    <col min="1788" max="1788" width="34.77734375" style="67" customWidth="1"/>
    <col min="1789" max="1789" width="10.77734375" style="67" customWidth="1"/>
    <col min="1790" max="1790" width="11.33203125" style="67" customWidth="1"/>
    <col min="1791" max="1791" width="12.21875" style="67" customWidth="1"/>
    <col min="1792" max="1792" width="13" style="67" customWidth="1"/>
    <col min="1793" max="1793" width="12.6640625" style="67" customWidth="1"/>
    <col min="1794" max="1794" width="14.21875" style="67" customWidth="1"/>
    <col min="1795" max="1796" width="13.33203125" style="67" customWidth="1"/>
    <col min="1797" max="1797" width="13.88671875" style="67" customWidth="1"/>
    <col min="1798" max="1806" width="9.6640625" style="67" customWidth="1"/>
    <col min="1807" max="1807" width="12.6640625" style="67" customWidth="1"/>
    <col min="1808" max="2043" width="8.6640625" style="67"/>
    <col min="2044" max="2044" width="34.77734375" style="67" customWidth="1"/>
    <col min="2045" max="2045" width="10.77734375" style="67" customWidth="1"/>
    <col min="2046" max="2046" width="11.33203125" style="67" customWidth="1"/>
    <col min="2047" max="2047" width="12.21875" style="67" customWidth="1"/>
    <col min="2048" max="2048" width="13" style="67" customWidth="1"/>
    <col min="2049" max="2049" width="12.6640625" style="67" customWidth="1"/>
    <col min="2050" max="2050" width="14.21875" style="67" customWidth="1"/>
    <col min="2051" max="2052" width="13.33203125" style="67" customWidth="1"/>
    <col min="2053" max="2053" width="13.88671875" style="67" customWidth="1"/>
    <col min="2054" max="2062" width="9.6640625" style="67" customWidth="1"/>
    <col min="2063" max="2063" width="12.6640625" style="67" customWidth="1"/>
    <col min="2064" max="2299" width="8.6640625" style="67"/>
    <col min="2300" max="2300" width="34.77734375" style="67" customWidth="1"/>
    <col min="2301" max="2301" width="10.77734375" style="67" customWidth="1"/>
    <col min="2302" max="2302" width="11.33203125" style="67" customWidth="1"/>
    <col min="2303" max="2303" width="12.21875" style="67" customWidth="1"/>
    <col min="2304" max="2304" width="13" style="67" customWidth="1"/>
    <col min="2305" max="2305" width="12.6640625" style="67" customWidth="1"/>
    <col min="2306" max="2306" width="14.21875" style="67" customWidth="1"/>
    <col min="2307" max="2308" width="13.33203125" style="67" customWidth="1"/>
    <col min="2309" max="2309" width="13.88671875" style="67" customWidth="1"/>
    <col min="2310" max="2318" width="9.6640625" style="67" customWidth="1"/>
    <col min="2319" max="2319" width="12.6640625" style="67" customWidth="1"/>
    <col min="2320" max="2555" width="8.6640625" style="67"/>
    <col min="2556" max="2556" width="34.77734375" style="67" customWidth="1"/>
    <col min="2557" max="2557" width="10.77734375" style="67" customWidth="1"/>
    <col min="2558" max="2558" width="11.33203125" style="67" customWidth="1"/>
    <col min="2559" max="2559" width="12.21875" style="67" customWidth="1"/>
    <col min="2560" max="2560" width="13" style="67" customWidth="1"/>
    <col min="2561" max="2561" width="12.6640625" style="67" customWidth="1"/>
    <col min="2562" max="2562" width="14.21875" style="67" customWidth="1"/>
    <col min="2563" max="2564" width="13.33203125" style="67" customWidth="1"/>
    <col min="2565" max="2565" width="13.88671875" style="67" customWidth="1"/>
    <col min="2566" max="2574" width="9.6640625" style="67" customWidth="1"/>
    <col min="2575" max="2575" width="12.6640625" style="67" customWidth="1"/>
    <col min="2576" max="2811" width="8.6640625" style="67"/>
    <col min="2812" max="2812" width="34.77734375" style="67" customWidth="1"/>
    <col min="2813" max="2813" width="10.77734375" style="67" customWidth="1"/>
    <col min="2814" max="2814" width="11.33203125" style="67" customWidth="1"/>
    <col min="2815" max="2815" width="12.21875" style="67" customWidth="1"/>
    <col min="2816" max="2816" width="13" style="67" customWidth="1"/>
    <col min="2817" max="2817" width="12.6640625" style="67" customWidth="1"/>
    <col min="2818" max="2818" width="14.21875" style="67" customWidth="1"/>
    <col min="2819" max="2820" width="13.33203125" style="67" customWidth="1"/>
    <col min="2821" max="2821" width="13.88671875" style="67" customWidth="1"/>
    <col min="2822" max="2830" width="9.6640625" style="67" customWidth="1"/>
    <col min="2831" max="2831" width="12.6640625" style="67" customWidth="1"/>
    <col min="2832" max="3067" width="8.6640625" style="67"/>
    <col min="3068" max="3068" width="34.77734375" style="67" customWidth="1"/>
    <col min="3069" max="3069" width="10.77734375" style="67" customWidth="1"/>
    <col min="3070" max="3070" width="11.33203125" style="67" customWidth="1"/>
    <col min="3071" max="3071" width="12.21875" style="67" customWidth="1"/>
    <col min="3072" max="3072" width="13" style="67" customWidth="1"/>
    <col min="3073" max="3073" width="12.6640625" style="67" customWidth="1"/>
    <col min="3074" max="3074" width="14.21875" style="67" customWidth="1"/>
    <col min="3075" max="3076" width="13.33203125" style="67" customWidth="1"/>
    <col min="3077" max="3077" width="13.88671875" style="67" customWidth="1"/>
    <col min="3078" max="3086" width="9.6640625" style="67" customWidth="1"/>
    <col min="3087" max="3087" width="12.6640625" style="67" customWidth="1"/>
    <col min="3088" max="3323" width="8.6640625" style="67"/>
    <col min="3324" max="3324" width="34.77734375" style="67" customWidth="1"/>
    <col min="3325" max="3325" width="10.77734375" style="67" customWidth="1"/>
    <col min="3326" max="3326" width="11.33203125" style="67" customWidth="1"/>
    <col min="3327" max="3327" width="12.21875" style="67" customWidth="1"/>
    <col min="3328" max="3328" width="13" style="67" customWidth="1"/>
    <col min="3329" max="3329" width="12.6640625" style="67" customWidth="1"/>
    <col min="3330" max="3330" width="14.21875" style="67" customWidth="1"/>
    <col min="3331" max="3332" width="13.33203125" style="67" customWidth="1"/>
    <col min="3333" max="3333" width="13.88671875" style="67" customWidth="1"/>
    <col min="3334" max="3342" width="9.6640625" style="67" customWidth="1"/>
    <col min="3343" max="3343" width="12.6640625" style="67" customWidth="1"/>
    <col min="3344" max="3579" width="8.6640625" style="67"/>
    <col min="3580" max="3580" width="34.77734375" style="67" customWidth="1"/>
    <col min="3581" max="3581" width="10.77734375" style="67" customWidth="1"/>
    <col min="3582" max="3582" width="11.33203125" style="67" customWidth="1"/>
    <col min="3583" max="3583" width="12.21875" style="67" customWidth="1"/>
    <col min="3584" max="3584" width="13" style="67" customWidth="1"/>
    <col min="3585" max="3585" width="12.6640625" style="67" customWidth="1"/>
    <col min="3586" max="3586" width="14.21875" style="67" customWidth="1"/>
    <col min="3587" max="3588" width="13.33203125" style="67" customWidth="1"/>
    <col min="3589" max="3589" width="13.88671875" style="67" customWidth="1"/>
    <col min="3590" max="3598" width="9.6640625" style="67" customWidth="1"/>
    <col min="3599" max="3599" width="12.6640625" style="67" customWidth="1"/>
    <col min="3600" max="3835" width="8.6640625" style="67"/>
    <col min="3836" max="3836" width="34.77734375" style="67" customWidth="1"/>
    <col min="3837" max="3837" width="10.77734375" style="67" customWidth="1"/>
    <col min="3838" max="3838" width="11.33203125" style="67" customWidth="1"/>
    <col min="3839" max="3839" width="12.21875" style="67" customWidth="1"/>
    <col min="3840" max="3840" width="13" style="67" customWidth="1"/>
    <col min="3841" max="3841" width="12.6640625" style="67" customWidth="1"/>
    <col min="3842" max="3842" width="14.21875" style="67" customWidth="1"/>
    <col min="3843" max="3844" width="13.33203125" style="67" customWidth="1"/>
    <col min="3845" max="3845" width="13.88671875" style="67" customWidth="1"/>
    <col min="3846" max="3854" width="9.6640625" style="67" customWidth="1"/>
    <col min="3855" max="3855" width="12.6640625" style="67" customWidth="1"/>
    <col min="3856" max="4091" width="8.6640625" style="67"/>
    <col min="4092" max="4092" width="34.77734375" style="67" customWidth="1"/>
    <col min="4093" max="4093" width="10.77734375" style="67" customWidth="1"/>
    <col min="4094" max="4094" width="11.33203125" style="67" customWidth="1"/>
    <col min="4095" max="4095" width="12.21875" style="67" customWidth="1"/>
    <col min="4096" max="4096" width="13" style="67" customWidth="1"/>
    <col min="4097" max="4097" width="12.6640625" style="67" customWidth="1"/>
    <col min="4098" max="4098" width="14.21875" style="67" customWidth="1"/>
    <col min="4099" max="4100" width="13.33203125" style="67" customWidth="1"/>
    <col min="4101" max="4101" width="13.88671875" style="67" customWidth="1"/>
    <col min="4102" max="4110" width="9.6640625" style="67" customWidth="1"/>
    <col min="4111" max="4111" width="12.6640625" style="67" customWidth="1"/>
    <col min="4112" max="4347" width="8.6640625" style="67"/>
    <col min="4348" max="4348" width="34.77734375" style="67" customWidth="1"/>
    <col min="4349" max="4349" width="10.77734375" style="67" customWidth="1"/>
    <col min="4350" max="4350" width="11.33203125" style="67" customWidth="1"/>
    <col min="4351" max="4351" width="12.21875" style="67" customWidth="1"/>
    <col min="4352" max="4352" width="13" style="67" customWidth="1"/>
    <col min="4353" max="4353" width="12.6640625" style="67" customWidth="1"/>
    <col min="4354" max="4354" width="14.21875" style="67" customWidth="1"/>
    <col min="4355" max="4356" width="13.33203125" style="67" customWidth="1"/>
    <col min="4357" max="4357" width="13.88671875" style="67" customWidth="1"/>
    <col min="4358" max="4366" width="9.6640625" style="67" customWidth="1"/>
    <col min="4367" max="4367" width="12.6640625" style="67" customWidth="1"/>
    <col min="4368" max="4603" width="8.6640625" style="67"/>
    <col min="4604" max="4604" width="34.77734375" style="67" customWidth="1"/>
    <col min="4605" max="4605" width="10.77734375" style="67" customWidth="1"/>
    <col min="4606" max="4606" width="11.33203125" style="67" customWidth="1"/>
    <col min="4607" max="4607" width="12.21875" style="67" customWidth="1"/>
    <col min="4608" max="4608" width="13" style="67" customWidth="1"/>
    <col min="4609" max="4609" width="12.6640625" style="67" customWidth="1"/>
    <col min="4610" max="4610" width="14.21875" style="67" customWidth="1"/>
    <col min="4611" max="4612" width="13.33203125" style="67" customWidth="1"/>
    <col min="4613" max="4613" width="13.88671875" style="67" customWidth="1"/>
    <col min="4614" max="4622" width="9.6640625" style="67" customWidth="1"/>
    <col min="4623" max="4623" width="12.6640625" style="67" customWidth="1"/>
    <col min="4624" max="4859" width="8.6640625" style="67"/>
    <col min="4860" max="4860" width="34.77734375" style="67" customWidth="1"/>
    <col min="4861" max="4861" width="10.77734375" style="67" customWidth="1"/>
    <col min="4862" max="4862" width="11.33203125" style="67" customWidth="1"/>
    <col min="4863" max="4863" width="12.21875" style="67" customWidth="1"/>
    <col min="4864" max="4864" width="13" style="67" customWidth="1"/>
    <col min="4865" max="4865" width="12.6640625" style="67" customWidth="1"/>
    <col min="4866" max="4866" width="14.21875" style="67" customWidth="1"/>
    <col min="4867" max="4868" width="13.33203125" style="67" customWidth="1"/>
    <col min="4869" max="4869" width="13.88671875" style="67" customWidth="1"/>
    <col min="4870" max="4878" width="9.6640625" style="67" customWidth="1"/>
    <col min="4879" max="4879" width="12.6640625" style="67" customWidth="1"/>
    <col min="4880" max="5115" width="8.6640625" style="67"/>
    <col min="5116" max="5116" width="34.77734375" style="67" customWidth="1"/>
    <col min="5117" max="5117" width="10.77734375" style="67" customWidth="1"/>
    <col min="5118" max="5118" width="11.33203125" style="67" customWidth="1"/>
    <col min="5119" max="5119" width="12.21875" style="67" customWidth="1"/>
    <col min="5120" max="5120" width="13" style="67" customWidth="1"/>
    <col min="5121" max="5121" width="12.6640625" style="67" customWidth="1"/>
    <col min="5122" max="5122" width="14.21875" style="67" customWidth="1"/>
    <col min="5123" max="5124" width="13.33203125" style="67" customWidth="1"/>
    <col min="5125" max="5125" width="13.88671875" style="67" customWidth="1"/>
    <col min="5126" max="5134" width="9.6640625" style="67" customWidth="1"/>
    <col min="5135" max="5135" width="12.6640625" style="67" customWidth="1"/>
    <col min="5136" max="5371" width="8.6640625" style="67"/>
    <col min="5372" max="5372" width="34.77734375" style="67" customWidth="1"/>
    <col min="5373" max="5373" width="10.77734375" style="67" customWidth="1"/>
    <col min="5374" max="5374" width="11.33203125" style="67" customWidth="1"/>
    <col min="5375" max="5375" width="12.21875" style="67" customWidth="1"/>
    <col min="5376" max="5376" width="13" style="67" customWidth="1"/>
    <col min="5377" max="5377" width="12.6640625" style="67" customWidth="1"/>
    <col min="5378" max="5378" width="14.21875" style="67" customWidth="1"/>
    <col min="5379" max="5380" width="13.33203125" style="67" customWidth="1"/>
    <col min="5381" max="5381" width="13.88671875" style="67" customWidth="1"/>
    <col min="5382" max="5390" width="9.6640625" style="67" customWidth="1"/>
    <col min="5391" max="5391" width="12.6640625" style="67" customWidth="1"/>
    <col min="5392" max="5627" width="8.6640625" style="67"/>
    <col min="5628" max="5628" width="34.77734375" style="67" customWidth="1"/>
    <col min="5629" max="5629" width="10.77734375" style="67" customWidth="1"/>
    <col min="5630" max="5630" width="11.33203125" style="67" customWidth="1"/>
    <col min="5631" max="5631" width="12.21875" style="67" customWidth="1"/>
    <col min="5632" max="5632" width="13" style="67" customWidth="1"/>
    <col min="5633" max="5633" width="12.6640625" style="67" customWidth="1"/>
    <col min="5634" max="5634" width="14.21875" style="67" customWidth="1"/>
    <col min="5635" max="5636" width="13.33203125" style="67" customWidth="1"/>
    <col min="5637" max="5637" width="13.88671875" style="67" customWidth="1"/>
    <col min="5638" max="5646" width="9.6640625" style="67" customWidth="1"/>
    <col min="5647" max="5647" width="12.6640625" style="67" customWidth="1"/>
    <col min="5648" max="5883" width="8.6640625" style="67"/>
    <col min="5884" max="5884" width="34.77734375" style="67" customWidth="1"/>
    <col min="5885" max="5885" width="10.77734375" style="67" customWidth="1"/>
    <col min="5886" max="5886" width="11.33203125" style="67" customWidth="1"/>
    <col min="5887" max="5887" width="12.21875" style="67" customWidth="1"/>
    <col min="5888" max="5888" width="13" style="67" customWidth="1"/>
    <col min="5889" max="5889" width="12.6640625" style="67" customWidth="1"/>
    <col min="5890" max="5890" width="14.21875" style="67" customWidth="1"/>
    <col min="5891" max="5892" width="13.33203125" style="67" customWidth="1"/>
    <col min="5893" max="5893" width="13.88671875" style="67" customWidth="1"/>
    <col min="5894" max="5902" width="9.6640625" style="67" customWidth="1"/>
    <col min="5903" max="5903" width="12.6640625" style="67" customWidth="1"/>
    <col min="5904" max="6139" width="8.6640625" style="67"/>
    <col min="6140" max="6140" width="34.77734375" style="67" customWidth="1"/>
    <col min="6141" max="6141" width="10.77734375" style="67" customWidth="1"/>
    <col min="6142" max="6142" width="11.33203125" style="67" customWidth="1"/>
    <col min="6143" max="6143" width="12.21875" style="67" customWidth="1"/>
    <col min="6144" max="6144" width="13" style="67" customWidth="1"/>
    <col min="6145" max="6145" width="12.6640625" style="67" customWidth="1"/>
    <col min="6146" max="6146" width="14.21875" style="67" customWidth="1"/>
    <col min="6147" max="6148" width="13.33203125" style="67" customWidth="1"/>
    <col min="6149" max="6149" width="13.88671875" style="67" customWidth="1"/>
    <col min="6150" max="6158" width="9.6640625" style="67" customWidth="1"/>
    <col min="6159" max="6159" width="12.6640625" style="67" customWidth="1"/>
    <col min="6160" max="6395" width="8.6640625" style="67"/>
    <col min="6396" max="6396" width="34.77734375" style="67" customWidth="1"/>
    <col min="6397" max="6397" width="10.77734375" style="67" customWidth="1"/>
    <col min="6398" max="6398" width="11.33203125" style="67" customWidth="1"/>
    <col min="6399" max="6399" width="12.21875" style="67" customWidth="1"/>
    <col min="6400" max="6400" width="13" style="67" customWidth="1"/>
    <col min="6401" max="6401" width="12.6640625" style="67" customWidth="1"/>
    <col min="6402" max="6402" width="14.21875" style="67" customWidth="1"/>
    <col min="6403" max="6404" width="13.33203125" style="67" customWidth="1"/>
    <col min="6405" max="6405" width="13.88671875" style="67" customWidth="1"/>
    <col min="6406" max="6414" width="9.6640625" style="67" customWidth="1"/>
    <col min="6415" max="6415" width="12.6640625" style="67" customWidth="1"/>
    <col min="6416" max="6651" width="8.6640625" style="67"/>
    <col min="6652" max="6652" width="34.77734375" style="67" customWidth="1"/>
    <col min="6653" max="6653" width="10.77734375" style="67" customWidth="1"/>
    <col min="6654" max="6654" width="11.33203125" style="67" customWidth="1"/>
    <col min="6655" max="6655" width="12.21875" style="67" customWidth="1"/>
    <col min="6656" max="6656" width="13" style="67" customWidth="1"/>
    <col min="6657" max="6657" width="12.6640625" style="67" customWidth="1"/>
    <col min="6658" max="6658" width="14.21875" style="67" customWidth="1"/>
    <col min="6659" max="6660" width="13.33203125" style="67" customWidth="1"/>
    <col min="6661" max="6661" width="13.88671875" style="67" customWidth="1"/>
    <col min="6662" max="6670" width="9.6640625" style="67" customWidth="1"/>
    <col min="6671" max="6671" width="12.6640625" style="67" customWidth="1"/>
    <col min="6672" max="6907" width="8.6640625" style="67"/>
    <col min="6908" max="6908" width="34.77734375" style="67" customWidth="1"/>
    <col min="6909" max="6909" width="10.77734375" style="67" customWidth="1"/>
    <col min="6910" max="6910" width="11.33203125" style="67" customWidth="1"/>
    <col min="6911" max="6911" width="12.21875" style="67" customWidth="1"/>
    <col min="6912" max="6912" width="13" style="67" customWidth="1"/>
    <col min="6913" max="6913" width="12.6640625" style="67" customWidth="1"/>
    <col min="6914" max="6914" width="14.21875" style="67" customWidth="1"/>
    <col min="6915" max="6916" width="13.33203125" style="67" customWidth="1"/>
    <col min="6917" max="6917" width="13.88671875" style="67" customWidth="1"/>
    <col min="6918" max="6926" width="9.6640625" style="67" customWidth="1"/>
    <col min="6927" max="6927" width="12.6640625" style="67" customWidth="1"/>
    <col min="6928" max="7163" width="8.6640625" style="67"/>
    <col min="7164" max="7164" width="34.77734375" style="67" customWidth="1"/>
    <col min="7165" max="7165" width="10.77734375" style="67" customWidth="1"/>
    <col min="7166" max="7166" width="11.33203125" style="67" customWidth="1"/>
    <col min="7167" max="7167" width="12.21875" style="67" customWidth="1"/>
    <col min="7168" max="7168" width="13" style="67" customWidth="1"/>
    <col min="7169" max="7169" width="12.6640625" style="67" customWidth="1"/>
    <col min="7170" max="7170" width="14.21875" style="67" customWidth="1"/>
    <col min="7171" max="7172" width="13.33203125" style="67" customWidth="1"/>
    <col min="7173" max="7173" width="13.88671875" style="67" customWidth="1"/>
    <col min="7174" max="7182" width="9.6640625" style="67" customWidth="1"/>
    <col min="7183" max="7183" width="12.6640625" style="67" customWidth="1"/>
    <col min="7184" max="7419" width="8.6640625" style="67"/>
    <col min="7420" max="7420" width="34.77734375" style="67" customWidth="1"/>
    <col min="7421" max="7421" width="10.77734375" style="67" customWidth="1"/>
    <col min="7422" max="7422" width="11.33203125" style="67" customWidth="1"/>
    <col min="7423" max="7423" width="12.21875" style="67" customWidth="1"/>
    <col min="7424" max="7424" width="13" style="67" customWidth="1"/>
    <col min="7425" max="7425" width="12.6640625" style="67" customWidth="1"/>
    <col min="7426" max="7426" width="14.21875" style="67" customWidth="1"/>
    <col min="7427" max="7428" width="13.33203125" style="67" customWidth="1"/>
    <col min="7429" max="7429" width="13.88671875" style="67" customWidth="1"/>
    <col min="7430" max="7438" width="9.6640625" style="67" customWidth="1"/>
    <col min="7439" max="7439" width="12.6640625" style="67" customWidth="1"/>
    <col min="7440" max="7675" width="8.6640625" style="67"/>
    <col min="7676" max="7676" width="34.77734375" style="67" customWidth="1"/>
    <col min="7677" max="7677" width="10.77734375" style="67" customWidth="1"/>
    <col min="7678" max="7678" width="11.33203125" style="67" customWidth="1"/>
    <col min="7679" max="7679" width="12.21875" style="67" customWidth="1"/>
    <col min="7680" max="7680" width="13" style="67" customWidth="1"/>
    <col min="7681" max="7681" width="12.6640625" style="67" customWidth="1"/>
    <col min="7682" max="7682" width="14.21875" style="67" customWidth="1"/>
    <col min="7683" max="7684" width="13.33203125" style="67" customWidth="1"/>
    <col min="7685" max="7685" width="13.88671875" style="67" customWidth="1"/>
    <col min="7686" max="7694" width="9.6640625" style="67" customWidth="1"/>
    <col min="7695" max="7695" width="12.6640625" style="67" customWidth="1"/>
    <col min="7696" max="7931" width="8.6640625" style="67"/>
    <col min="7932" max="7932" width="34.77734375" style="67" customWidth="1"/>
    <col min="7933" max="7933" width="10.77734375" style="67" customWidth="1"/>
    <col min="7934" max="7934" width="11.33203125" style="67" customWidth="1"/>
    <col min="7935" max="7935" width="12.21875" style="67" customWidth="1"/>
    <col min="7936" max="7936" width="13" style="67" customWidth="1"/>
    <col min="7937" max="7937" width="12.6640625" style="67" customWidth="1"/>
    <col min="7938" max="7938" width="14.21875" style="67" customWidth="1"/>
    <col min="7939" max="7940" width="13.33203125" style="67" customWidth="1"/>
    <col min="7941" max="7941" width="13.88671875" style="67" customWidth="1"/>
    <col min="7942" max="7950" width="9.6640625" style="67" customWidth="1"/>
    <col min="7951" max="7951" width="12.6640625" style="67" customWidth="1"/>
    <col min="7952" max="8187" width="8.6640625" style="67"/>
    <col min="8188" max="8188" width="34.77734375" style="67" customWidth="1"/>
    <col min="8189" max="8189" width="10.77734375" style="67" customWidth="1"/>
    <col min="8190" max="8190" width="11.33203125" style="67" customWidth="1"/>
    <col min="8191" max="8191" width="12.21875" style="67" customWidth="1"/>
    <col min="8192" max="8192" width="13" style="67" customWidth="1"/>
    <col min="8193" max="8193" width="12.6640625" style="67" customWidth="1"/>
    <col min="8194" max="8194" width="14.21875" style="67" customWidth="1"/>
    <col min="8195" max="8196" width="13.33203125" style="67" customWidth="1"/>
    <col min="8197" max="8197" width="13.88671875" style="67" customWidth="1"/>
    <col min="8198" max="8206" width="9.6640625" style="67" customWidth="1"/>
    <col min="8207" max="8207" width="12.6640625" style="67" customWidth="1"/>
    <col min="8208" max="8443" width="8.6640625" style="67"/>
    <col min="8444" max="8444" width="34.77734375" style="67" customWidth="1"/>
    <col min="8445" max="8445" width="10.77734375" style="67" customWidth="1"/>
    <col min="8446" max="8446" width="11.33203125" style="67" customWidth="1"/>
    <col min="8447" max="8447" width="12.21875" style="67" customWidth="1"/>
    <col min="8448" max="8448" width="13" style="67" customWidth="1"/>
    <col min="8449" max="8449" width="12.6640625" style="67" customWidth="1"/>
    <col min="8450" max="8450" width="14.21875" style="67" customWidth="1"/>
    <col min="8451" max="8452" width="13.33203125" style="67" customWidth="1"/>
    <col min="8453" max="8453" width="13.88671875" style="67" customWidth="1"/>
    <col min="8454" max="8462" width="9.6640625" style="67" customWidth="1"/>
    <col min="8463" max="8463" width="12.6640625" style="67" customWidth="1"/>
    <col min="8464" max="8699" width="8.6640625" style="67"/>
    <col min="8700" max="8700" width="34.77734375" style="67" customWidth="1"/>
    <col min="8701" max="8701" width="10.77734375" style="67" customWidth="1"/>
    <col min="8702" max="8702" width="11.33203125" style="67" customWidth="1"/>
    <col min="8703" max="8703" width="12.21875" style="67" customWidth="1"/>
    <col min="8704" max="8704" width="13" style="67" customWidth="1"/>
    <col min="8705" max="8705" width="12.6640625" style="67" customWidth="1"/>
    <col min="8706" max="8706" width="14.21875" style="67" customWidth="1"/>
    <col min="8707" max="8708" width="13.33203125" style="67" customWidth="1"/>
    <col min="8709" max="8709" width="13.88671875" style="67" customWidth="1"/>
    <col min="8710" max="8718" width="9.6640625" style="67" customWidth="1"/>
    <col min="8719" max="8719" width="12.6640625" style="67" customWidth="1"/>
    <col min="8720" max="8955" width="8.6640625" style="67"/>
    <col min="8956" max="8956" width="34.77734375" style="67" customWidth="1"/>
    <col min="8957" max="8957" width="10.77734375" style="67" customWidth="1"/>
    <col min="8958" max="8958" width="11.33203125" style="67" customWidth="1"/>
    <col min="8959" max="8959" width="12.21875" style="67" customWidth="1"/>
    <col min="8960" max="8960" width="13" style="67" customWidth="1"/>
    <col min="8961" max="8961" width="12.6640625" style="67" customWidth="1"/>
    <col min="8962" max="8962" width="14.21875" style="67" customWidth="1"/>
    <col min="8963" max="8964" width="13.33203125" style="67" customWidth="1"/>
    <col min="8965" max="8965" width="13.88671875" style="67" customWidth="1"/>
    <col min="8966" max="8974" width="9.6640625" style="67" customWidth="1"/>
    <col min="8975" max="8975" width="12.6640625" style="67" customWidth="1"/>
    <col min="8976" max="9211" width="8.6640625" style="67"/>
    <col min="9212" max="9212" width="34.77734375" style="67" customWidth="1"/>
    <col min="9213" max="9213" width="10.77734375" style="67" customWidth="1"/>
    <col min="9214" max="9214" width="11.33203125" style="67" customWidth="1"/>
    <col min="9215" max="9215" width="12.21875" style="67" customWidth="1"/>
    <col min="9216" max="9216" width="13" style="67" customWidth="1"/>
    <col min="9217" max="9217" width="12.6640625" style="67" customWidth="1"/>
    <col min="9218" max="9218" width="14.21875" style="67" customWidth="1"/>
    <col min="9219" max="9220" width="13.33203125" style="67" customWidth="1"/>
    <col min="9221" max="9221" width="13.88671875" style="67" customWidth="1"/>
    <col min="9222" max="9230" width="9.6640625" style="67" customWidth="1"/>
    <col min="9231" max="9231" width="12.6640625" style="67" customWidth="1"/>
    <col min="9232" max="9467" width="8.6640625" style="67"/>
    <col min="9468" max="9468" width="34.77734375" style="67" customWidth="1"/>
    <col min="9469" max="9469" width="10.77734375" style="67" customWidth="1"/>
    <col min="9470" max="9470" width="11.33203125" style="67" customWidth="1"/>
    <col min="9471" max="9471" width="12.21875" style="67" customWidth="1"/>
    <col min="9472" max="9472" width="13" style="67" customWidth="1"/>
    <col min="9473" max="9473" width="12.6640625" style="67" customWidth="1"/>
    <col min="9474" max="9474" width="14.21875" style="67" customWidth="1"/>
    <col min="9475" max="9476" width="13.33203125" style="67" customWidth="1"/>
    <col min="9477" max="9477" width="13.88671875" style="67" customWidth="1"/>
    <col min="9478" max="9486" width="9.6640625" style="67" customWidth="1"/>
    <col min="9487" max="9487" width="12.6640625" style="67" customWidth="1"/>
    <col min="9488" max="9723" width="8.6640625" style="67"/>
    <col min="9724" max="9724" width="34.77734375" style="67" customWidth="1"/>
    <col min="9725" max="9725" width="10.77734375" style="67" customWidth="1"/>
    <col min="9726" max="9726" width="11.33203125" style="67" customWidth="1"/>
    <col min="9727" max="9727" width="12.21875" style="67" customWidth="1"/>
    <col min="9728" max="9728" width="13" style="67" customWidth="1"/>
    <col min="9729" max="9729" width="12.6640625" style="67" customWidth="1"/>
    <col min="9730" max="9730" width="14.21875" style="67" customWidth="1"/>
    <col min="9731" max="9732" width="13.33203125" style="67" customWidth="1"/>
    <col min="9733" max="9733" width="13.88671875" style="67" customWidth="1"/>
    <col min="9734" max="9742" width="9.6640625" style="67" customWidth="1"/>
    <col min="9743" max="9743" width="12.6640625" style="67" customWidth="1"/>
    <col min="9744" max="9979" width="8.6640625" style="67"/>
    <col min="9980" max="9980" width="34.77734375" style="67" customWidth="1"/>
    <col min="9981" max="9981" width="10.77734375" style="67" customWidth="1"/>
    <col min="9982" max="9982" width="11.33203125" style="67" customWidth="1"/>
    <col min="9983" max="9983" width="12.21875" style="67" customWidth="1"/>
    <col min="9984" max="9984" width="13" style="67" customWidth="1"/>
    <col min="9985" max="9985" width="12.6640625" style="67" customWidth="1"/>
    <col min="9986" max="9986" width="14.21875" style="67" customWidth="1"/>
    <col min="9987" max="9988" width="13.33203125" style="67" customWidth="1"/>
    <col min="9989" max="9989" width="13.88671875" style="67" customWidth="1"/>
    <col min="9990" max="9998" width="9.6640625" style="67" customWidth="1"/>
    <col min="9999" max="9999" width="12.6640625" style="67" customWidth="1"/>
    <col min="10000" max="10235" width="8.6640625" style="67"/>
    <col min="10236" max="10236" width="34.77734375" style="67" customWidth="1"/>
    <col min="10237" max="10237" width="10.77734375" style="67" customWidth="1"/>
    <col min="10238" max="10238" width="11.33203125" style="67" customWidth="1"/>
    <col min="10239" max="10239" width="12.21875" style="67" customWidth="1"/>
    <col min="10240" max="10240" width="13" style="67" customWidth="1"/>
    <col min="10241" max="10241" width="12.6640625" style="67" customWidth="1"/>
    <col min="10242" max="10242" width="14.21875" style="67" customWidth="1"/>
    <col min="10243" max="10244" width="13.33203125" style="67" customWidth="1"/>
    <col min="10245" max="10245" width="13.88671875" style="67" customWidth="1"/>
    <col min="10246" max="10254" width="9.6640625" style="67" customWidth="1"/>
    <col min="10255" max="10255" width="12.6640625" style="67" customWidth="1"/>
    <col min="10256" max="10491" width="8.6640625" style="67"/>
    <col min="10492" max="10492" width="34.77734375" style="67" customWidth="1"/>
    <col min="10493" max="10493" width="10.77734375" style="67" customWidth="1"/>
    <col min="10494" max="10494" width="11.33203125" style="67" customWidth="1"/>
    <col min="10495" max="10495" width="12.21875" style="67" customWidth="1"/>
    <col min="10496" max="10496" width="13" style="67" customWidth="1"/>
    <col min="10497" max="10497" width="12.6640625" style="67" customWidth="1"/>
    <col min="10498" max="10498" width="14.21875" style="67" customWidth="1"/>
    <col min="10499" max="10500" width="13.33203125" style="67" customWidth="1"/>
    <col min="10501" max="10501" width="13.88671875" style="67" customWidth="1"/>
    <col min="10502" max="10510" width="9.6640625" style="67" customWidth="1"/>
    <col min="10511" max="10511" width="12.6640625" style="67" customWidth="1"/>
    <col min="10512" max="10747" width="8.6640625" style="67"/>
    <col min="10748" max="10748" width="34.77734375" style="67" customWidth="1"/>
    <col min="10749" max="10749" width="10.77734375" style="67" customWidth="1"/>
    <col min="10750" max="10750" width="11.33203125" style="67" customWidth="1"/>
    <col min="10751" max="10751" width="12.21875" style="67" customWidth="1"/>
    <col min="10752" max="10752" width="13" style="67" customWidth="1"/>
    <col min="10753" max="10753" width="12.6640625" style="67" customWidth="1"/>
    <col min="10754" max="10754" width="14.21875" style="67" customWidth="1"/>
    <col min="10755" max="10756" width="13.33203125" style="67" customWidth="1"/>
    <col min="10757" max="10757" width="13.88671875" style="67" customWidth="1"/>
    <col min="10758" max="10766" width="9.6640625" style="67" customWidth="1"/>
    <col min="10767" max="10767" width="12.6640625" style="67" customWidth="1"/>
    <col min="10768" max="11003" width="8.6640625" style="67"/>
    <col min="11004" max="11004" width="34.77734375" style="67" customWidth="1"/>
    <col min="11005" max="11005" width="10.77734375" style="67" customWidth="1"/>
    <col min="11006" max="11006" width="11.33203125" style="67" customWidth="1"/>
    <col min="11007" max="11007" width="12.21875" style="67" customWidth="1"/>
    <col min="11008" max="11008" width="13" style="67" customWidth="1"/>
    <col min="11009" max="11009" width="12.6640625" style="67" customWidth="1"/>
    <col min="11010" max="11010" width="14.21875" style="67" customWidth="1"/>
    <col min="11011" max="11012" width="13.33203125" style="67" customWidth="1"/>
    <col min="11013" max="11013" width="13.88671875" style="67" customWidth="1"/>
    <col min="11014" max="11022" width="9.6640625" style="67" customWidth="1"/>
    <col min="11023" max="11023" width="12.6640625" style="67" customWidth="1"/>
    <col min="11024" max="11259" width="8.6640625" style="67"/>
    <col min="11260" max="11260" width="34.77734375" style="67" customWidth="1"/>
    <col min="11261" max="11261" width="10.77734375" style="67" customWidth="1"/>
    <col min="11262" max="11262" width="11.33203125" style="67" customWidth="1"/>
    <col min="11263" max="11263" width="12.21875" style="67" customWidth="1"/>
    <col min="11264" max="11264" width="13" style="67" customWidth="1"/>
    <col min="11265" max="11265" width="12.6640625" style="67" customWidth="1"/>
    <col min="11266" max="11266" width="14.21875" style="67" customWidth="1"/>
    <col min="11267" max="11268" width="13.33203125" style="67" customWidth="1"/>
    <col min="11269" max="11269" width="13.88671875" style="67" customWidth="1"/>
    <col min="11270" max="11278" width="9.6640625" style="67" customWidth="1"/>
    <col min="11279" max="11279" width="12.6640625" style="67" customWidth="1"/>
    <col min="11280" max="11515" width="8.6640625" style="67"/>
    <col min="11516" max="11516" width="34.77734375" style="67" customWidth="1"/>
    <col min="11517" max="11517" width="10.77734375" style="67" customWidth="1"/>
    <col min="11518" max="11518" width="11.33203125" style="67" customWidth="1"/>
    <col min="11519" max="11519" width="12.21875" style="67" customWidth="1"/>
    <col min="11520" max="11520" width="13" style="67" customWidth="1"/>
    <col min="11521" max="11521" width="12.6640625" style="67" customWidth="1"/>
    <col min="11522" max="11522" width="14.21875" style="67" customWidth="1"/>
    <col min="11523" max="11524" width="13.33203125" style="67" customWidth="1"/>
    <col min="11525" max="11525" width="13.88671875" style="67" customWidth="1"/>
    <col min="11526" max="11534" width="9.6640625" style="67" customWidth="1"/>
    <col min="11535" max="11535" width="12.6640625" style="67" customWidth="1"/>
    <col min="11536" max="11771" width="8.6640625" style="67"/>
    <col min="11772" max="11772" width="34.77734375" style="67" customWidth="1"/>
    <col min="11773" max="11773" width="10.77734375" style="67" customWidth="1"/>
    <col min="11774" max="11774" width="11.33203125" style="67" customWidth="1"/>
    <col min="11775" max="11775" width="12.21875" style="67" customWidth="1"/>
    <col min="11776" max="11776" width="13" style="67" customWidth="1"/>
    <col min="11777" max="11777" width="12.6640625" style="67" customWidth="1"/>
    <col min="11778" max="11778" width="14.21875" style="67" customWidth="1"/>
    <col min="11779" max="11780" width="13.33203125" style="67" customWidth="1"/>
    <col min="11781" max="11781" width="13.88671875" style="67" customWidth="1"/>
    <col min="11782" max="11790" width="9.6640625" style="67" customWidth="1"/>
    <col min="11791" max="11791" width="12.6640625" style="67" customWidth="1"/>
    <col min="11792" max="12027" width="8.6640625" style="67"/>
    <col min="12028" max="12028" width="34.77734375" style="67" customWidth="1"/>
    <col min="12029" max="12029" width="10.77734375" style="67" customWidth="1"/>
    <col min="12030" max="12030" width="11.33203125" style="67" customWidth="1"/>
    <col min="12031" max="12031" width="12.21875" style="67" customWidth="1"/>
    <col min="12032" max="12032" width="13" style="67" customWidth="1"/>
    <col min="12033" max="12033" width="12.6640625" style="67" customWidth="1"/>
    <col min="12034" max="12034" width="14.21875" style="67" customWidth="1"/>
    <col min="12035" max="12036" width="13.33203125" style="67" customWidth="1"/>
    <col min="12037" max="12037" width="13.88671875" style="67" customWidth="1"/>
    <col min="12038" max="12046" width="9.6640625" style="67" customWidth="1"/>
    <col min="12047" max="12047" width="12.6640625" style="67" customWidth="1"/>
    <col min="12048" max="12283" width="8.6640625" style="67"/>
    <col min="12284" max="12284" width="34.77734375" style="67" customWidth="1"/>
    <col min="12285" max="12285" width="10.77734375" style="67" customWidth="1"/>
    <col min="12286" max="12286" width="11.33203125" style="67" customWidth="1"/>
    <col min="12287" max="12287" width="12.21875" style="67" customWidth="1"/>
    <col min="12288" max="12288" width="13" style="67" customWidth="1"/>
    <col min="12289" max="12289" width="12.6640625" style="67" customWidth="1"/>
    <col min="12290" max="12290" width="14.21875" style="67" customWidth="1"/>
    <col min="12291" max="12292" width="13.33203125" style="67" customWidth="1"/>
    <col min="12293" max="12293" width="13.88671875" style="67" customWidth="1"/>
    <col min="12294" max="12302" width="9.6640625" style="67" customWidth="1"/>
    <col min="12303" max="12303" width="12.6640625" style="67" customWidth="1"/>
    <col min="12304" max="12539" width="8.6640625" style="67"/>
    <col min="12540" max="12540" width="34.77734375" style="67" customWidth="1"/>
    <col min="12541" max="12541" width="10.77734375" style="67" customWidth="1"/>
    <col min="12542" max="12542" width="11.33203125" style="67" customWidth="1"/>
    <col min="12543" max="12543" width="12.21875" style="67" customWidth="1"/>
    <col min="12544" max="12544" width="13" style="67" customWidth="1"/>
    <col min="12545" max="12545" width="12.6640625" style="67" customWidth="1"/>
    <col min="12546" max="12546" width="14.21875" style="67" customWidth="1"/>
    <col min="12547" max="12548" width="13.33203125" style="67" customWidth="1"/>
    <col min="12549" max="12549" width="13.88671875" style="67" customWidth="1"/>
    <col min="12550" max="12558" width="9.6640625" style="67" customWidth="1"/>
    <col min="12559" max="12559" width="12.6640625" style="67" customWidth="1"/>
    <col min="12560" max="12795" width="8.6640625" style="67"/>
    <col min="12796" max="12796" width="34.77734375" style="67" customWidth="1"/>
    <col min="12797" max="12797" width="10.77734375" style="67" customWidth="1"/>
    <col min="12798" max="12798" width="11.33203125" style="67" customWidth="1"/>
    <col min="12799" max="12799" width="12.21875" style="67" customWidth="1"/>
    <col min="12800" max="12800" width="13" style="67" customWidth="1"/>
    <col min="12801" max="12801" width="12.6640625" style="67" customWidth="1"/>
    <col min="12802" max="12802" width="14.21875" style="67" customWidth="1"/>
    <col min="12803" max="12804" width="13.33203125" style="67" customWidth="1"/>
    <col min="12805" max="12805" width="13.88671875" style="67" customWidth="1"/>
    <col min="12806" max="12814" width="9.6640625" style="67" customWidth="1"/>
    <col min="12815" max="12815" width="12.6640625" style="67" customWidth="1"/>
    <col min="12816" max="13051" width="8.6640625" style="67"/>
    <col min="13052" max="13052" width="34.77734375" style="67" customWidth="1"/>
    <col min="13053" max="13053" width="10.77734375" style="67" customWidth="1"/>
    <col min="13054" max="13054" width="11.33203125" style="67" customWidth="1"/>
    <col min="13055" max="13055" width="12.21875" style="67" customWidth="1"/>
    <col min="13056" max="13056" width="13" style="67" customWidth="1"/>
    <col min="13057" max="13057" width="12.6640625" style="67" customWidth="1"/>
    <col min="13058" max="13058" width="14.21875" style="67" customWidth="1"/>
    <col min="13059" max="13060" width="13.33203125" style="67" customWidth="1"/>
    <col min="13061" max="13061" width="13.88671875" style="67" customWidth="1"/>
    <col min="13062" max="13070" width="9.6640625" style="67" customWidth="1"/>
    <col min="13071" max="13071" width="12.6640625" style="67" customWidth="1"/>
    <col min="13072" max="13307" width="8.6640625" style="67"/>
    <col min="13308" max="13308" width="34.77734375" style="67" customWidth="1"/>
    <col min="13309" max="13309" width="10.77734375" style="67" customWidth="1"/>
    <col min="13310" max="13310" width="11.33203125" style="67" customWidth="1"/>
    <col min="13311" max="13311" width="12.21875" style="67" customWidth="1"/>
    <col min="13312" max="13312" width="13" style="67" customWidth="1"/>
    <col min="13313" max="13313" width="12.6640625" style="67" customWidth="1"/>
    <col min="13314" max="13314" width="14.21875" style="67" customWidth="1"/>
    <col min="13315" max="13316" width="13.33203125" style="67" customWidth="1"/>
    <col min="13317" max="13317" width="13.88671875" style="67" customWidth="1"/>
    <col min="13318" max="13326" width="9.6640625" style="67" customWidth="1"/>
    <col min="13327" max="13327" width="12.6640625" style="67" customWidth="1"/>
    <col min="13328" max="13563" width="8.6640625" style="67"/>
    <col min="13564" max="13564" width="34.77734375" style="67" customWidth="1"/>
    <col min="13565" max="13565" width="10.77734375" style="67" customWidth="1"/>
    <col min="13566" max="13566" width="11.33203125" style="67" customWidth="1"/>
    <col min="13567" max="13567" width="12.21875" style="67" customWidth="1"/>
    <col min="13568" max="13568" width="13" style="67" customWidth="1"/>
    <col min="13569" max="13569" width="12.6640625" style="67" customWidth="1"/>
    <col min="13570" max="13570" width="14.21875" style="67" customWidth="1"/>
    <col min="13571" max="13572" width="13.33203125" style="67" customWidth="1"/>
    <col min="13573" max="13573" width="13.88671875" style="67" customWidth="1"/>
    <col min="13574" max="13582" width="9.6640625" style="67" customWidth="1"/>
    <col min="13583" max="13583" width="12.6640625" style="67" customWidth="1"/>
    <col min="13584" max="13819" width="8.6640625" style="67"/>
    <col min="13820" max="13820" width="34.77734375" style="67" customWidth="1"/>
    <col min="13821" max="13821" width="10.77734375" style="67" customWidth="1"/>
    <col min="13822" max="13822" width="11.33203125" style="67" customWidth="1"/>
    <col min="13823" max="13823" width="12.21875" style="67" customWidth="1"/>
    <col min="13824" max="13824" width="13" style="67" customWidth="1"/>
    <col min="13825" max="13825" width="12.6640625" style="67" customWidth="1"/>
    <col min="13826" max="13826" width="14.21875" style="67" customWidth="1"/>
    <col min="13827" max="13828" width="13.33203125" style="67" customWidth="1"/>
    <col min="13829" max="13829" width="13.88671875" style="67" customWidth="1"/>
    <col min="13830" max="13838" width="9.6640625" style="67" customWidth="1"/>
    <col min="13839" max="13839" width="12.6640625" style="67" customWidth="1"/>
    <col min="13840" max="14075" width="8.6640625" style="67"/>
    <col min="14076" max="14076" width="34.77734375" style="67" customWidth="1"/>
    <col min="14077" max="14077" width="10.77734375" style="67" customWidth="1"/>
    <col min="14078" max="14078" width="11.33203125" style="67" customWidth="1"/>
    <col min="14079" max="14079" width="12.21875" style="67" customWidth="1"/>
    <col min="14080" max="14080" width="13" style="67" customWidth="1"/>
    <col min="14081" max="14081" width="12.6640625" style="67" customWidth="1"/>
    <col min="14082" max="14082" width="14.21875" style="67" customWidth="1"/>
    <col min="14083" max="14084" width="13.33203125" style="67" customWidth="1"/>
    <col min="14085" max="14085" width="13.88671875" style="67" customWidth="1"/>
    <col min="14086" max="14094" width="9.6640625" style="67" customWidth="1"/>
    <col min="14095" max="14095" width="12.6640625" style="67" customWidth="1"/>
    <col min="14096" max="14331" width="8.6640625" style="67"/>
    <col min="14332" max="14332" width="34.77734375" style="67" customWidth="1"/>
    <col min="14333" max="14333" width="10.77734375" style="67" customWidth="1"/>
    <col min="14334" max="14334" width="11.33203125" style="67" customWidth="1"/>
    <col min="14335" max="14335" width="12.21875" style="67" customWidth="1"/>
    <col min="14336" max="14336" width="13" style="67" customWidth="1"/>
    <col min="14337" max="14337" width="12.6640625" style="67" customWidth="1"/>
    <col min="14338" max="14338" width="14.21875" style="67" customWidth="1"/>
    <col min="14339" max="14340" width="13.33203125" style="67" customWidth="1"/>
    <col min="14341" max="14341" width="13.88671875" style="67" customWidth="1"/>
    <col min="14342" max="14350" width="9.6640625" style="67" customWidth="1"/>
    <col min="14351" max="14351" width="12.6640625" style="67" customWidth="1"/>
    <col min="14352" max="14587" width="8.6640625" style="67"/>
    <col min="14588" max="14588" width="34.77734375" style="67" customWidth="1"/>
    <col min="14589" max="14589" width="10.77734375" style="67" customWidth="1"/>
    <col min="14590" max="14590" width="11.33203125" style="67" customWidth="1"/>
    <col min="14591" max="14591" width="12.21875" style="67" customWidth="1"/>
    <col min="14592" max="14592" width="13" style="67" customWidth="1"/>
    <col min="14593" max="14593" width="12.6640625" style="67" customWidth="1"/>
    <col min="14594" max="14594" width="14.21875" style="67" customWidth="1"/>
    <col min="14595" max="14596" width="13.33203125" style="67" customWidth="1"/>
    <col min="14597" max="14597" width="13.88671875" style="67" customWidth="1"/>
    <col min="14598" max="14606" width="9.6640625" style="67" customWidth="1"/>
    <col min="14607" max="14607" width="12.6640625" style="67" customWidth="1"/>
    <col min="14608" max="14843" width="8.6640625" style="67"/>
    <col min="14844" max="14844" width="34.77734375" style="67" customWidth="1"/>
    <col min="14845" max="14845" width="10.77734375" style="67" customWidth="1"/>
    <col min="14846" max="14846" width="11.33203125" style="67" customWidth="1"/>
    <col min="14847" max="14847" width="12.21875" style="67" customWidth="1"/>
    <col min="14848" max="14848" width="13" style="67" customWidth="1"/>
    <col min="14849" max="14849" width="12.6640625" style="67" customWidth="1"/>
    <col min="14850" max="14850" width="14.21875" style="67" customWidth="1"/>
    <col min="14851" max="14852" width="13.33203125" style="67" customWidth="1"/>
    <col min="14853" max="14853" width="13.88671875" style="67" customWidth="1"/>
    <col min="14854" max="14862" width="9.6640625" style="67" customWidth="1"/>
    <col min="14863" max="14863" width="12.6640625" style="67" customWidth="1"/>
    <col min="14864" max="15099" width="8.6640625" style="67"/>
    <col min="15100" max="15100" width="34.77734375" style="67" customWidth="1"/>
    <col min="15101" max="15101" width="10.77734375" style="67" customWidth="1"/>
    <col min="15102" max="15102" width="11.33203125" style="67" customWidth="1"/>
    <col min="15103" max="15103" width="12.21875" style="67" customWidth="1"/>
    <col min="15104" max="15104" width="13" style="67" customWidth="1"/>
    <col min="15105" max="15105" width="12.6640625" style="67" customWidth="1"/>
    <col min="15106" max="15106" width="14.21875" style="67" customWidth="1"/>
    <col min="15107" max="15108" width="13.33203125" style="67" customWidth="1"/>
    <col min="15109" max="15109" width="13.88671875" style="67" customWidth="1"/>
    <col min="15110" max="15118" width="9.6640625" style="67" customWidth="1"/>
    <col min="15119" max="15119" width="12.6640625" style="67" customWidth="1"/>
    <col min="15120" max="15355" width="8.6640625" style="67"/>
    <col min="15356" max="15356" width="34.77734375" style="67" customWidth="1"/>
    <col min="15357" max="15357" width="10.77734375" style="67" customWidth="1"/>
    <col min="15358" max="15358" width="11.33203125" style="67" customWidth="1"/>
    <col min="15359" max="15359" width="12.21875" style="67" customWidth="1"/>
    <col min="15360" max="15360" width="13" style="67" customWidth="1"/>
    <col min="15361" max="15361" width="12.6640625" style="67" customWidth="1"/>
    <col min="15362" max="15362" width="14.21875" style="67" customWidth="1"/>
    <col min="15363" max="15364" width="13.33203125" style="67" customWidth="1"/>
    <col min="15365" max="15365" width="13.88671875" style="67" customWidth="1"/>
    <col min="15366" max="15374" width="9.6640625" style="67" customWidth="1"/>
    <col min="15375" max="15375" width="12.6640625" style="67" customWidth="1"/>
    <col min="15376" max="15611" width="8.6640625" style="67"/>
    <col min="15612" max="15612" width="34.77734375" style="67" customWidth="1"/>
    <col min="15613" max="15613" width="10.77734375" style="67" customWidth="1"/>
    <col min="15614" max="15614" width="11.33203125" style="67" customWidth="1"/>
    <col min="15615" max="15615" width="12.21875" style="67" customWidth="1"/>
    <col min="15616" max="15616" width="13" style="67" customWidth="1"/>
    <col min="15617" max="15617" width="12.6640625" style="67" customWidth="1"/>
    <col min="15618" max="15618" width="14.21875" style="67" customWidth="1"/>
    <col min="15619" max="15620" width="13.33203125" style="67" customWidth="1"/>
    <col min="15621" max="15621" width="13.88671875" style="67" customWidth="1"/>
    <col min="15622" max="15630" width="9.6640625" style="67" customWidth="1"/>
    <col min="15631" max="15631" width="12.6640625" style="67" customWidth="1"/>
    <col min="15632" max="15867" width="8.6640625" style="67"/>
    <col min="15868" max="15868" width="34.77734375" style="67" customWidth="1"/>
    <col min="15869" max="15869" width="10.77734375" style="67" customWidth="1"/>
    <col min="15870" max="15870" width="11.33203125" style="67" customWidth="1"/>
    <col min="15871" max="15871" width="12.21875" style="67" customWidth="1"/>
    <col min="15872" max="15872" width="13" style="67" customWidth="1"/>
    <col min="15873" max="15873" width="12.6640625" style="67" customWidth="1"/>
    <col min="15874" max="15874" width="14.21875" style="67" customWidth="1"/>
    <col min="15875" max="15876" width="13.33203125" style="67" customWidth="1"/>
    <col min="15877" max="15877" width="13.88671875" style="67" customWidth="1"/>
    <col min="15878" max="15886" width="9.6640625" style="67" customWidth="1"/>
    <col min="15887" max="15887" width="12.6640625" style="67" customWidth="1"/>
    <col min="15888" max="16123" width="8.6640625" style="67"/>
    <col min="16124" max="16124" width="34.77734375" style="67" customWidth="1"/>
    <col min="16125" max="16125" width="10.77734375" style="67" customWidth="1"/>
    <col min="16126" max="16126" width="11.33203125" style="67" customWidth="1"/>
    <col min="16127" max="16127" width="12.21875" style="67" customWidth="1"/>
    <col min="16128" max="16128" width="13" style="67" customWidth="1"/>
    <col min="16129" max="16129" width="12.6640625" style="67" customWidth="1"/>
    <col min="16130" max="16130" width="14.21875" style="67" customWidth="1"/>
    <col min="16131" max="16132" width="13.33203125" style="67" customWidth="1"/>
    <col min="16133" max="16133" width="13.88671875" style="67" customWidth="1"/>
    <col min="16134" max="16142" width="9.6640625" style="67" customWidth="1"/>
    <col min="16143" max="16143" width="12.6640625" style="67" customWidth="1"/>
    <col min="16144" max="16384" width="8.6640625" style="67"/>
  </cols>
  <sheetData>
    <row r="1" spans="1:17" s="65" customFormat="1" ht="13.5" customHeight="1" x14ac:dyDescent="0.2">
      <c r="A1" s="475" t="s">
        <v>415</v>
      </c>
      <c r="B1" s="476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8"/>
      <c r="Q1" s="700"/>
    </row>
    <row r="2" spans="1:17" ht="13.5" customHeight="1" x14ac:dyDescent="0.2">
      <c r="A2" s="206"/>
      <c r="B2" s="716"/>
      <c r="C2" s="717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401"/>
      <c r="Q2" s="701"/>
    </row>
    <row r="3" spans="1:17" s="95" customFormat="1" x14ac:dyDescent="0.2">
      <c r="A3" s="479" t="s">
        <v>79</v>
      </c>
      <c r="B3" s="69" t="s">
        <v>28</v>
      </c>
      <c r="C3" s="717" t="s">
        <v>29</v>
      </c>
      <c r="D3" s="717" t="s">
        <v>30</v>
      </c>
      <c r="E3" s="717" t="s">
        <v>31</v>
      </c>
      <c r="F3" s="717" t="s">
        <v>32</v>
      </c>
      <c r="G3" s="717" t="s">
        <v>245</v>
      </c>
      <c r="H3" s="717" t="s">
        <v>248</v>
      </c>
      <c r="I3" s="717" t="s">
        <v>252</v>
      </c>
      <c r="J3" s="717" t="s">
        <v>286</v>
      </c>
      <c r="K3" s="717" t="s">
        <v>334</v>
      </c>
      <c r="L3" s="717" t="s">
        <v>374</v>
      </c>
      <c r="M3" s="717"/>
      <c r="N3" s="717" t="s">
        <v>374</v>
      </c>
      <c r="O3" s="717" t="s">
        <v>493</v>
      </c>
      <c r="P3" s="715" t="s">
        <v>485</v>
      </c>
      <c r="Q3" s="701"/>
    </row>
    <row r="4" spans="1:17" s="95" customFormat="1" x14ac:dyDescent="0.2">
      <c r="A4" s="479" t="s">
        <v>80</v>
      </c>
      <c r="B4" s="403" t="s">
        <v>81</v>
      </c>
      <c r="C4" s="403" t="s">
        <v>81</v>
      </c>
      <c r="D4" s="403" t="s">
        <v>81</v>
      </c>
      <c r="E4" s="403" t="s">
        <v>81</v>
      </c>
      <c r="F4" s="403" t="s">
        <v>81</v>
      </c>
      <c r="G4" s="403" t="s">
        <v>81</v>
      </c>
      <c r="H4" s="403" t="s">
        <v>81</v>
      </c>
      <c r="I4" s="403" t="s">
        <v>81</v>
      </c>
      <c r="J4" s="403" t="s">
        <v>81</v>
      </c>
      <c r="K4" s="403" t="s">
        <v>81</v>
      </c>
      <c r="L4" s="403" t="s">
        <v>81</v>
      </c>
      <c r="M4" s="403"/>
      <c r="N4" s="403" t="s">
        <v>484</v>
      </c>
      <c r="O4" s="403" t="s">
        <v>494</v>
      </c>
      <c r="P4" s="714" t="s">
        <v>364</v>
      </c>
      <c r="Q4" s="702"/>
    </row>
    <row r="5" spans="1:17" s="147" customFormat="1" ht="13.5" customHeight="1" x14ac:dyDescent="0.2">
      <c r="A5" s="719" t="s">
        <v>82</v>
      </c>
      <c r="B5" s="720" t="s">
        <v>83</v>
      </c>
      <c r="C5" s="720" t="s">
        <v>83</v>
      </c>
      <c r="D5" s="720" t="s">
        <v>83</v>
      </c>
      <c r="E5" s="720" t="s">
        <v>83</v>
      </c>
      <c r="F5" s="720" t="s">
        <v>83</v>
      </c>
      <c r="G5" s="720" t="s">
        <v>83</v>
      </c>
      <c r="H5" s="720" t="s">
        <v>83</v>
      </c>
      <c r="I5" s="720" t="s">
        <v>83</v>
      </c>
      <c r="J5" s="720" t="s">
        <v>83</v>
      </c>
      <c r="K5" s="720" t="s">
        <v>83</v>
      </c>
      <c r="L5" s="720" t="s">
        <v>83</v>
      </c>
      <c r="M5" s="720"/>
      <c r="N5" s="720" t="s">
        <v>464</v>
      </c>
      <c r="O5" s="720" t="s">
        <v>47</v>
      </c>
      <c r="P5" s="721" t="s">
        <v>351</v>
      </c>
      <c r="Q5" s="702" t="s">
        <v>21</v>
      </c>
    </row>
    <row r="6" spans="1:17" ht="14.25" customHeight="1" x14ac:dyDescent="0.2">
      <c r="A6" s="480" t="s">
        <v>337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168"/>
      <c r="Q6" s="481"/>
    </row>
    <row r="7" spans="1:17" ht="12.75" customHeight="1" x14ac:dyDescent="0.25">
      <c r="A7" s="482" t="s">
        <v>1</v>
      </c>
      <c r="B7" s="483"/>
      <c r="C7" s="80"/>
      <c r="D7" s="483"/>
      <c r="E7" s="71"/>
      <c r="F7" s="483"/>
      <c r="G7" s="483"/>
      <c r="H7" s="483" t="s">
        <v>414</v>
      </c>
      <c r="I7" s="71"/>
      <c r="J7" s="71"/>
      <c r="K7" s="71"/>
      <c r="L7" s="71"/>
      <c r="M7" s="71"/>
      <c r="N7" s="71"/>
      <c r="O7" s="71"/>
      <c r="P7" s="162"/>
      <c r="Q7" s="481"/>
    </row>
    <row r="8" spans="1:17" ht="6.75" customHeight="1" x14ac:dyDescent="0.2">
      <c r="A8" s="484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2"/>
      <c r="Q8" s="481"/>
    </row>
    <row r="9" spans="1:17" ht="12" x14ac:dyDescent="0.25">
      <c r="A9" s="485" t="s">
        <v>85</v>
      </c>
      <c r="B9" s="552">
        <v>647.06150000000002</v>
      </c>
      <c r="C9" s="552">
        <v>703.14159999999981</v>
      </c>
      <c r="D9" s="552">
        <v>676.7881000000001</v>
      </c>
      <c r="E9" s="552">
        <v>692.72609999999997</v>
      </c>
      <c r="F9" s="552">
        <v>794.70770000000005</v>
      </c>
      <c r="G9" s="552">
        <v>831.22559999999999</v>
      </c>
      <c r="H9" s="552">
        <v>1066.1061000000002</v>
      </c>
      <c r="I9" s="552">
        <v>924.80240000000003</v>
      </c>
      <c r="J9" s="552">
        <v>1126.1420000000001</v>
      </c>
      <c r="K9" s="552">
        <v>1121.5650000000001</v>
      </c>
      <c r="L9" s="553">
        <v>1294.779</v>
      </c>
      <c r="M9" s="553"/>
      <c r="N9" s="553">
        <v>81.772000000000006</v>
      </c>
      <c r="O9" s="553">
        <v>93.429000000000002</v>
      </c>
      <c r="P9" s="162">
        <f>O9-N9</f>
        <v>11.656999999999996</v>
      </c>
      <c r="Q9" s="706">
        <f>P9/N9*100</f>
        <v>14.255490877072832</v>
      </c>
    </row>
    <row r="10" spans="1:17" x14ac:dyDescent="0.2">
      <c r="A10" s="482" t="s">
        <v>299</v>
      </c>
      <c r="B10" s="552">
        <v>0.68689999999999996</v>
      </c>
      <c r="C10" s="552">
        <v>1.0682</v>
      </c>
      <c r="D10" s="552">
        <v>1.5218</v>
      </c>
      <c r="E10" s="552">
        <v>1.3168</v>
      </c>
      <c r="F10" s="552">
        <v>1.7167999999999999</v>
      </c>
      <c r="G10" s="552">
        <v>1.6737</v>
      </c>
      <c r="H10" s="552">
        <v>2.0461</v>
      </c>
      <c r="I10" s="552">
        <v>2.234</v>
      </c>
      <c r="J10" s="552">
        <v>2.173</v>
      </c>
      <c r="K10" s="552">
        <v>1.4379999999999999</v>
      </c>
      <c r="L10" s="553">
        <v>1.863</v>
      </c>
      <c r="M10" s="553"/>
      <c r="N10" s="553">
        <v>8.3500000000000005E-2</v>
      </c>
      <c r="O10" s="553">
        <v>7.8E-2</v>
      </c>
      <c r="P10" s="162">
        <f t="shared" ref="P10:P42" si="0">O10-N10</f>
        <v>-5.5000000000000049E-3</v>
      </c>
      <c r="Q10" s="706">
        <f t="shared" ref="Q10:Q42" si="1">P10/N10*100</f>
        <v>-6.5868263473053954</v>
      </c>
    </row>
    <row r="11" spans="1:17" x14ac:dyDescent="0.2">
      <c r="A11" s="482" t="s">
        <v>298</v>
      </c>
      <c r="B11" s="552">
        <v>2.1311</v>
      </c>
      <c r="C11" s="552">
        <v>2.0442</v>
      </c>
      <c r="D11" s="552">
        <v>1.3557000000000001</v>
      </c>
      <c r="E11" s="552">
        <v>1.2599</v>
      </c>
      <c r="F11" s="552">
        <v>1.1825999999999999</v>
      </c>
      <c r="G11" s="552">
        <v>1.4109</v>
      </c>
      <c r="H11" s="552">
        <v>3.9965000000000002</v>
      </c>
      <c r="I11" s="552">
        <v>1.0369999999999999</v>
      </c>
      <c r="J11" s="552">
        <v>0.31</v>
      </c>
      <c r="K11" s="552">
        <v>3.004</v>
      </c>
      <c r="L11" s="553">
        <v>3.2679999999999998</v>
      </c>
      <c r="M11" s="553"/>
      <c r="N11" s="553">
        <v>0.123</v>
      </c>
      <c r="O11" s="553">
        <v>0.29320000000000002</v>
      </c>
      <c r="P11" s="162">
        <f t="shared" si="0"/>
        <v>0.17020000000000002</v>
      </c>
      <c r="Q11" s="706">
        <f t="shared" si="1"/>
        <v>138.37398373983743</v>
      </c>
    </row>
    <row r="12" spans="1:17" x14ac:dyDescent="0.2">
      <c r="A12" s="482" t="s">
        <v>300</v>
      </c>
      <c r="B12" s="552">
        <v>3.2229999999999999</v>
      </c>
      <c r="C12" s="552">
        <v>4.7581999999999995</v>
      </c>
      <c r="D12" s="552">
        <v>3.9200999999999997</v>
      </c>
      <c r="E12" s="552">
        <v>4.0472000000000001</v>
      </c>
      <c r="F12" s="552">
        <v>34.125399999999999</v>
      </c>
      <c r="G12" s="552">
        <v>66.239199999999997</v>
      </c>
      <c r="H12" s="552">
        <v>87.06</v>
      </c>
      <c r="I12" s="552">
        <v>65.090999999999994</v>
      </c>
      <c r="J12" s="552">
        <v>86.5</v>
      </c>
      <c r="K12" s="552">
        <v>86</v>
      </c>
      <c r="L12" s="553">
        <v>85.885000000000005</v>
      </c>
      <c r="M12" s="553"/>
      <c r="N12" s="553">
        <v>0.1363</v>
      </c>
      <c r="O12" s="553">
        <v>0.3332</v>
      </c>
      <c r="P12" s="162">
        <f t="shared" si="0"/>
        <v>0.19689999999999999</v>
      </c>
      <c r="Q12" s="706">
        <f t="shared" si="1"/>
        <v>144.46074834922965</v>
      </c>
    </row>
    <row r="13" spans="1:17" x14ac:dyDescent="0.2">
      <c r="A13" s="482" t="s">
        <v>301</v>
      </c>
      <c r="B13" s="552">
        <v>138.7885</v>
      </c>
      <c r="C13" s="552">
        <v>128.69489999999999</v>
      </c>
      <c r="D13" s="552">
        <v>166.58120000000002</v>
      </c>
      <c r="E13" s="552">
        <v>150.04900000000001</v>
      </c>
      <c r="F13" s="552">
        <v>183.24199999999999</v>
      </c>
      <c r="G13" s="552">
        <v>187.91900000000001</v>
      </c>
      <c r="H13" s="552">
        <v>225.94800000000001</v>
      </c>
      <c r="I13" s="552">
        <v>251.60300000000001</v>
      </c>
      <c r="J13" s="552">
        <v>240.47</v>
      </c>
      <c r="K13" s="552">
        <v>269.47800000000001</v>
      </c>
      <c r="L13" s="553">
        <v>311.90499999999997</v>
      </c>
      <c r="M13" s="553"/>
      <c r="N13" s="553">
        <v>25.803000000000001</v>
      </c>
      <c r="O13" s="553">
        <v>28.376999999999999</v>
      </c>
      <c r="P13" s="162">
        <f t="shared" si="0"/>
        <v>2.5739999999999981</v>
      </c>
      <c r="Q13" s="706">
        <f t="shared" si="1"/>
        <v>9.9755842343913415</v>
      </c>
    </row>
    <row r="14" spans="1:17" x14ac:dyDescent="0.2">
      <c r="A14" s="482" t="s">
        <v>302</v>
      </c>
      <c r="B14" s="552">
        <v>0.15769999999999998</v>
      </c>
      <c r="C14" s="552">
        <v>0.20880000000000001</v>
      </c>
      <c r="D14" s="552">
        <v>1.1028</v>
      </c>
      <c r="E14" s="552">
        <v>1.9182000000000001</v>
      </c>
      <c r="F14" s="552">
        <v>1.9470999999999998</v>
      </c>
      <c r="G14" s="552">
        <v>2.2956999999999996</v>
      </c>
      <c r="H14" s="552">
        <v>2.512</v>
      </c>
      <c r="I14" s="552">
        <v>2.2799999999999998</v>
      </c>
      <c r="J14" s="552">
        <v>2.86</v>
      </c>
      <c r="K14" s="552">
        <v>6.3540000000000001</v>
      </c>
      <c r="L14" s="553">
        <v>8.6669999999999998</v>
      </c>
      <c r="M14" s="553"/>
      <c r="N14" s="553">
        <v>0.67620000000000002</v>
      </c>
      <c r="O14" s="553">
        <v>0.49909999999999999</v>
      </c>
      <c r="P14" s="162">
        <f t="shared" si="0"/>
        <v>-0.17710000000000004</v>
      </c>
      <c r="Q14" s="706">
        <f t="shared" si="1"/>
        <v>-26.190476190476197</v>
      </c>
    </row>
    <row r="15" spans="1:17" x14ac:dyDescent="0.2">
      <c r="A15" s="482" t="s">
        <v>303</v>
      </c>
      <c r="B15" s="552">
        <v>26.645799999999998</v>
      </c>
      <c r="C15" s="552">
        <v>25.155799999999999</v>
      </c>
      <c r="D15" s="552">
        <v>27.601400000000002</v>
      </c>
      <c r="E15" s="552">
        <v>20.959199999999999</v>
      </c>
      <c r="F15" s="552">
        <v>21.922000000000001</v>
      </c>
      <c r="G15" s="552">
        <v>23.172599999999999</v>
      </c>
      <c r="H15" s="552">
        <v>36.523800000000001</v>
      </c>
      <c r="I15" s="552">
        <v>28.236999999999998</v>
      </c>
      <c r="J15" s="552">
        <v>25.189</v>
      </c>
      <c r="K15" s="552">
        <v>31.263000000000002</v>
      </c>
      <c r="L15" s="553">
        <v>34.301000000000002</v>
      </c>
      <c r="M15" s="553"/>
      <c r="N15" s="553">
        <v>2.5750000000000002</v>
      </c>
      <c r="O15" s="553">
        <v>2.0979999999999999</v>
      </c>
      <c r="P15" s="162">
        <f t="shared" si="0"/>
        <v>-0.47700000000000031</v>
      </c>
      <c r="Q15" s="706">
        <f t="shared" si="1"/>
        <v>-18.524271844660205</v>
      </c>
    </row>
    <row r="16" spans="1:17" x14ac:dyDescent="0.2">
      <c r="A16" s="482" t="s">
        <v>304</v>
      </c>
      <c r="B16" s="552">
        <v>428.58920000000001</v>
      </c>
      <c r="C16" s="552">
        <v>472.21429999999998</v>
      </c>
      <c r="D16" s="552">
        <v>437.34159999999997</v>
      </c>
      <c r="E16" s="552">
        <v>482.32590000000005</v>
      </c>
      <c r="F16" s="552">
        <v>529.33369999999991</v>
      </c>
      <c r="G16" s="552">
        <v>531.1712</v>
      </c>
      <c r="H16" s="552">
        <v>682.81240000000003</v>
      </c>
      <c r="I16" s="552">
        <v>552.029</v>
      </c>
      <c r="J16" s="552">
        <v>745.6</v>
      </c>
      <c r="K16" s="552">
        <v>689.21900000000005</v>
      </c>
      <c r="L16" s="553">
        <v>803.78899999999999</v>
      </c>
      <c r="M16" s="553"/>
      <c r="N16" s="553">
        <v>47.795999999999999</v>
      </c>
      <c r="O16" s="553">
        <v>58.698999999999998</v>
      </c>
      <c r="P16" s="162">
        <f t="shared" si="0"/>
        <v>10.902999999999999</v>
      </c>
      <c r="Q16" s="706">
        <f t="shared" si="1"/>
        <v>22.811532345802991</v>
      </c>
    </row>
    <row r="17" spans="1:19" x14ac:dyDescent="0.2">
      <c r="A17" s="482" t="s">
        <v>305</v>
      </c>
      <c r="B17" s="552">
        <v>45.3521</v>
      </c>
      <c r="C17" s="552">
        <v>67.454499999999996</v>
      </c>
      <c r="D17" s="552">
        <v>35.616599999999998</v>
      </c>
      <c r="E17" s="552">
        <v>28.985499999999998</v>
      </c>
      <c r="F17" s="552">
        <v>19.550799999999999</v>
      </c>
      <c r="G17" s="552">
        <v>15.5528</v>
      </c>
      <c r="H17" s="552">
        <v>21.347000000000001</v>
      </c>
      <c r="I17" s="552">
        <v>18.459</v>
      </c>
      <c r="J17" s="552">
        <v>20.437999999999999</v>
      </c>
      <c r="K17" s="552">
        <v>26.562999999999999</v>
      </c>
      <c r="L17" s="553">
        <v>34.18</v>
      </c>
      <c r="M17" s="553"/>
      <c r="N17" s="553">
        <v>3.4550000000000001</v>
      </c>
      <c r="O17" s="553">
        <v>2.54</v>
      </c>
      <c r="P17" s="162">
        <f t="shared" si="0"/>
        <v>-0.91500000000000004</v>
      </c>
      <c r="Q17" s="706">
        <f t="shared" si="1"/>
        <v>-26.483357452966715</v>
      </c>
    </row>
    <row r="18" spans="1:19" x14ac:dyDescent="0.2">
      <c r="A18" s="482" t="s">
        <v>90</v>
      </c>
      <c r="B18" s="552">
        <f t="shared" ref="B18:H18" si="2">B9-B10-B11-B12-B13-B14-B15-B16-B17</f>
        <v>1.4872000000000938</v>
      </c>
      <c r="C18" s="552">
        <f t="shared" si="2"/>
        <v>1.5426999999997975</v>
      </c>
      <c r="D18" s="552">
        <f t="shared" si="2"/>
        <v>1.7469000000001031</v>
      </c>
      <c r="E18" s="552">
        <f t="shared" si="2"/>
        <v>1.8644000000000496</v>
      </c>
      <c r="F18" s="552">
        <f t="shared" si="2"/>
        <v>1.6873000000001461</v>
      </c>
      <c r="G18" s="552">
        <f t="shared" si="2"/>
        <v>1.7904999999999998</v>
      </c>
      <c r="H18" s="552">
        <f t="shared" si="2"/>
        <v>3.8603000000002581</v>
      </c>
      <c r="I18" s="552">
        <f>I9-I10-I11-I12-I13-I14-I15-I16-I17</f>
        <v>3.8323999999999536</v>
      </c>
      <c r="J18" s="552">
        <f>J9-J10-J11-J12-J13-J14-J15-J16-J17</f>
        <v>2.6020000000000785</v>
      </c>
      <c r="K18" s="552">
        <f t="shared" ref="K18" si="3">K9-K10-K11-K12-K13-K14-K15-K16-K17</f>
        <v>8.2459999999998566</v>
      </c>
      <c r="L18" s="553">
        <f>L9-L10-L11-L12-L13-L14-L15-L16-L17</f>
        <v>10.920999999999886</v>
      </c>
      <c r="M18" s="553"/>
      <c r="N18" s="553">
        <f t="shared" ref="N18:O18" si="4">N9-N10-N11-N12-N13-N14-N15-N16-N17</f>
        <v>1.1239999999999934</v>
      </c>
      <c r="O18" s="553">
        <f t="shared" si="4"/>
        <v>0.51150000000000428</v>
      </c>
      <c r="P18" s="162">
        <f t="shared" si="0"/>
        <v>-0.61249999999998916</v>
      </c>
      <c r="Q18" s="706">
        <f t="shared" si="1"/>
        <v>-54.492882562276932</v>
      </c>
      <c r="S18" s="268"/>
    </row>
    <row r="19" spans="1:19" ht="6.75" customHeight="1" x14ac:dyDescent="0.2">
      <c r="A19" s="484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3"/>
      <c r="M19" s="553"/>
      <c r="N19" s="553"/>
      <c r="O19" s="553"/>
      <c r="P19" s="162"/>
      <c r="Q19" s="706"/>
    </row>
    <row r="20" spans="1:19" ht="12" x14ac:dyDescent="0.25">
      <c r="A20" s="485" t="s">
        <v>473</v>
      </c>
      <c r="B20" s="552">
        <v>12.0291</v>
      </c>
      <c r="C20" s="552">
        <v>14.494399999999999</v>
      </c>
      <c r="D20" s="552">
        <v>16.3003</v>
      </c>
      <c r="E20" s="552">
        <v>17.723400000000002</v>
      </c>
      <c r="F20" s="552">
        <v>17.090599999999998</v>
      </c>
      <c r="G20" s="552">
        <v>16.563700000000001</v>
      </c>
      <c r="H20" s="552">
        <v>16.679600000000001</v>
      </c>
      <c r="I20" s="552">
        <v>20.036899999999999</v>
      </c>
      <c r="J20" s="552">
        <v>22.8904</v>
      </c>
      <c r="K20" s="552">
        <v>19.739999999999998</v>
      </c>
      <c r="L20" s="552">
        <v>14.864000000000001</v>
      </c>
      <c r="M20" s="552"/>
      <c r="N20" s="552">
        <v>1.2350000000000001</v>
      </c>
      <c r="O20" s="552">
        <v>1.31</v>
      </c>
      <c r="P20" s="162">
        <f t="shared" si="0"/>
        <v>7.4999999999999956E-2</v>
      </c>
      <c r="Q20" s="706">
        <f t="shared" si="1"/>
        <v>6.072874493927122</v>
      </c>
    </row>
    <row r="21" spans="1:19" x14ac:dyDescent="0.2">
      <c r="A21" s="482" t="s">
        <v>86</v>
      </c>
      <c r="B21" s="552">
        <v>8.2463999999999995</v>
      </c>
      <c r="C21" s="552">
        <v>8.9870000000000001</v>
      </c>
      <c r="D21" s="552">
        <v>9.5287999999999986</v>
      </c>
      <c r="E21" s="552">
        <v>11.695499999999999</v>
      </c>
      <c r="F21" s="552">
        <v>11.693100000000001</v>
      </c>
      <c r="G21" s="552">
        <v>9.6364000000000001</v>
      </c>
      <c r="H21" s="552">
        <v>10.318899999999999</v>
      </c>
      <c r="I21" s="552">
        <v>10.842799999999999</v>
      </c>
      <c r="J21" s="552">
        <v>9.7476000000000003</v>
      </c>
      <c r="K21" s="552">
        <v>9.8539999999999992</v>
      </c>
      <c r="L21" s="552">
        <v>9.0449999999999999</v>
      </c>
      <c r="M21" s="552"/>
      <c r="N21" s="552">
        <v>0.89200000000000002</v>
      </c>
      <c r="O21" s="552">
        <v>0.83699999999999997</v>
      </c>
      <c r="P21" s="162">
        <f t="shared" si="0"/>
        <v>-5.5000000000000049E-2</v>
      </c>
      <c r="Q21" s="706">
        <f t="shared" si="1"/>
        <v>-6.1659192825112159</v>
      </c>
    </row>
    <row r="22" spans="1:19" x14ac:dyDescent="0.2">
      <c r="A22" s="482" t="s">
        <v>87</v>
      </c>
      <c r="B22" s="552">
        <v>1.2322</v>
      </c>
      <c r="C22" s="552">
        <v>1.7772000000000001</v>
      </c>
      <c r="D22" s="552">
        <v>2.0703</v>
      </c>
      <c r="E22" s="552">
        <v>1.7024000000000001</v>
      </c>
      <c r="F22" s="552">
        <v>4.0838000000000001</v>
      </c>
      <c r="G22" s="552">
        <v>5.3078000000000003</v>
      </c>
      <c r="H22" s="552">
        <v>4.3048999999999999</v>
      </c>
      <c r="I22" s="552">
        <v>6.6914999999999996</v>
      </c>
      <c r="J22" s="552">
        <v>9.1159999999999997</v>
      </c>
      <c r="K22" s="552">
        <v>7.2370000000000001</v>
      </c>
      <c r="L22" s="552">
        <v>3.319</v>
      </c>
      <c r="M22" s="552"/>
      <c r="N22" s="552">
        <v>0.221</v>
      </c>
      <c r="O22" s="552">
        <v>0.28239999999999998</v>
      </c>
      <c r="P22" s="162">
        <f t="shared" si="0"/>
        <v>6.1399999999999982E-2</v>
      </c>
      <c r="Q22" s="706">
        <f t="shared" si="1"/>
        <v>27.782805429864244</v>
      </c>
    </row>
    <row r="23" spans="1:19" x14ac:dyDescent="0.2">
      <c r="A23" s="482" t="s">
        <v>88</v>
      </c>
      <c r="B23" s="552">
        <v>3.0499999999999999E-2</v>
      </c>
      <c r="C23" s="552">
        <v>2.0199999999999999E-2</v>
      </c>
      <c r="D23" s="552">
        <v>1.9E-2</v>
      </c>
      <c r="E23" s="552">
        <v>6.2799999999999995E-2</v>
      </c>
      <c r="F23" s="552">
        <v>3.8600000000000002E-2</v>
      </c>
      <c r="G23" s="552">
        <v>0.1608</v>
      </c>
      <c r="H23" s="552">
        <v>0.1</v>
      </c>
      <c r="I23" s="552">
        <v>0.2</v>
      </c>
      <c r="J23" s="552">
        <v>0.1</v>
      </c>
      <c r="K23" s="552">
        <v>4.2000000000000006E-3</v>
      </c>
      <c r="L23" s="552">
        <v>0</v>
      </c>
      <c r="M23" s="552"/>
      <c r="N23" s="552">
        <v>0</v>
      </c>
      <c r="O23" s="552">
        <v>0</v>
      </c>
      <c r="P23" s="162">
        <f t="shared" si="0"/>
        <v>0</v>
      </c>
      <c r="Q23" s="707" t="s">
        <v>290</v>
      </c>
    </row>
    <row r="24" spans="1:19" x14ac:dyDescent="0.2">
      <c r="A24" s="482" t="s">
        <v>89</v>
      </c>
      <c r="B24" s="552">
        <v>0.49660000000000004</v>
      </c>
      <c r="C24" s="552">
        <v>2.2704</v>
      </c>
      <c r="D24" s="552">
        <v>3.1971999999999996</v>
      </c>
      <c r="E24" s="552">
        <v>2.7578</v>
      </c>
      <c r="F24" s="552">
        <v>0.40639999999999998</v>
      </c>
      <c r="G24" s="552">
        <v>4.3499999999999997E-2</v>
      </c>
      <c r="H24" s="552">
        <v>0.34310000000000002</v>
      </c>
      <c r="I24" s="552">
        <v>7.8E-2</v>
      </c>
      <c r="J24" s="552">
        <v>0.2099</v>
      </c>
      <c r="K24" s="552">
        <v>0.25950000000000001</v>
      </c>
      <c r="L24" s="552">
        <v>0.43</v>
      </c>
      <c r="M24" s="552"/>
      <c r="N24" s="552">
        <v>4.9000000000000002E-2</v>
      </c>
      <c r="O24" s="552">
        <v>5.5E-2</v>
      </c>
      <c r="P24" s="162">
        <f t="shared" si="0"/>
        <v>5.9999999999999984E-3</v>
      </c>
      <c r="Q24" s="706">
        <f t="shared" si="1"/>
        <v>12.244897959183669</v>
      </c>
    </row>
    <row r="25" spans="1:19" s="142" customFormat="1" x14ac:dyDescent="0.2">
      <c r="A25" s="486" t="s">
        <v>90</v>
      </c>
      <c r="B25" s="552">
        <f t="shared" ref="B25:F25" si="5">B20-B21-B22-B23-B24</f>
        <v>2.0234000000000005</v>
      </c>
      <c r="C25" s="552">
        <f t="shared" si="5"/>
        <v>1.4395999999999987</v>
      </c>
      <c r="D25" s="552">
        <f t="shared" si="5"/>
        <v>1.4850000000000021</v>
      </c>
      <c r="E25" s="552">
        <f t="shared" si="5"/>
        <v>1.5049000000000023</v>
      </c>
      <c r="F25" s="552">
        <f t="shared" si="5"/>
        <v>0.86869999999999725</v>
      </c>
      <c r="G25" s="552">
        <f t="shared" ref="G25:H25" si="6">G20-G21-G22-G23-G24</f>
        <v>1.4152000000000002</v>
      </c>
      <c r="H25" s="552">
        <f t="shared" si="6"/>
        <v>1.6127000000000014</v>
      </c>
      <c r="I25" s="552">
        <f>I20-I21-I22-I23-I24</f>
        <v>2.224600000000001</v>
      </c>
      <c r="J25" s="552">
        <f>J20-J21-J22-J23-J24</f>
        <v>3.7168999999999994</v>
      </c>
      <c r="K25" s="552">
        <f t="shared" ref="K25" si="7">K20-K21-K22-K23-K24</f>
        <v>2.3852999999999991</v>
      </c>
      <c r="L25" s="552">
        <f>L20-L21-L22-L23-L24</f>
        <v>2.0700000000000007</v>
      </c>
      <c r="M25" s="552"/>
      <c r="N25" s="552">
        <f t="shared" ref="N25:O25" si="8">N20-N21-N22-N23-N24</f>
        <v>7.3000000000000079E-2</v>
      </c>
      <c r="O25" s="552">
        <f t="shared" si="8"/>
        <v>0.13560000000000011</v>
      </c>
      <c r="P25" s="162">
        <f t="shared" si="0"/>
        <v>6.2600000000000031E-2</v>
      </c>
      <c r="Q25" s="706">
        <f t="shared" si="1"/>
        <v>85.753424657534197</v>
      </c>
    </row>
    <row r="26" spans="1:19" ht="6.75" customHeight="1" x14ac:dyDescent="0.2">
      <c r="A26" s="484"/>
      <c r="B26" s="554"/>
      <c r="C26" s="552"/>
      <c r="D26" s="554"/>
      <c r="E26" s="554"/>
      <c r="F26" s="554"/>
      <c r="G26" s="552"/>
      <c r="H26" s="552"/>
      <c r="I26" s="552"/>
      <c r="J26" s="552"/>
      <c r="K26" s="552"/>
      <c r="L26" s="552"/>
      <c r="M26" s="552"/>
      <c r="N26" s="552"/>
      <c r="O26" s="552"/>
      <c r="P26" s="162"/>
      <c r="Q26" s="706"/>
    </row>
    <row r="27" spans="1:19" ht="12" x14ac:dyDescent="0.25">
      <c r="A27" s="485" t="s">
        <v>91</v>
      </c>
      <c r="B27" s="552">
        <v>41.047599999999996</v>
      </c>
      <c r="C27" s="552">
        <v>47.126300000000001</v>
      </c>
      <c r="D27" s="552">
        <v>76.647200000000012</v>
      </c>
      <c r="E27" s="552">
        <v>36.295299999999997</v>
      </c>
      <c r="F27" s="552">
        <v>63.5379</v>
      </c>
      <c r="G27" s="552">
        <v>73.926100000000005</v>
      </c>
      <c r="H27" s="552">
        <v>107.09310000000001</v>
      </c>
      <c r="I27" s="552">
        <v>136.53739999999999</v>
      </c>
      <c r="J27" s="552">
        <v>52.182200000000002</v>
      </c>
      <c r="K27" s="552">
        <v>90.733000000000004</v>
      </c>
      <c r="L27" s="552">
        <v>107.629</v>
      </c>
      <c r="M27" s="552"/>
      <c r="N27" s="552">
        <v>6.5940000000000003</v>
      </c>
      <c r="O27" s="552">
        <v>7.4020000000000001</v>
      </c>
      <c r="P27" s="162">
        <f t="shared" si="0"/>
        <v>0.80799999999999983</v>
      </c>
      <c r="Q27" s="706">
        <f t="shared" si="1"/>
        <v>12.25356384592053</v>
      </c>
    </row>
    <row r="28" spans="1:19" x14ac:dyDescent="0.2">
      <c r="A28" s="482" t="s">
        <v>92</v>
      </c>
      <c r="B28" s="552">
        <v>3.9796</v>
      </c>
      <c r="C28" s="552">
        <v>5.4192999999999998</v>
      </c>
      <c r="D28" s="552">
        <v>5.9314</v>
      </c>
      <c r="E28" s="552">
        <v>4.9257</v>
      </c>
      <c r="F28" s="552">
        <v>5.2096999999999998</v>
      </c>
      <c r="G28" s="552">
        <v>6.8151999999999999</v>
      </c>
      <c r="H28" s="552">
        <v>9.6087000000000007</v>
      </c>
      <c r="I28" s="552">
        <v>14.431799999999999</v>
      </c>
      <c r="J28" s="552">
        <v>17.528500000000001</v>
      </c>
      <c r="K28" s="552">
        <v>18.684999999999999</v>
      </c>
      <c r="L28" s="552">
        <v>23.803000000000001</v>
      </c>
      <c r="M28" s="552"/>
      <c r="N28" s="552">
        <v>1.427</v>
      </c>
      <c r="O28" s="552">
        <v>1.1679999999999999</v>
      </c>
      <c r="P28" s="162">
        <f t="shared" si="0"/>
        <v>-0.25900000000000012</v>
      </c>
      <c r="Q28" s="706">
        <f t="shared" si="1"/>
        <v>-18.149964961457609</v>
      </c>
    </row>
    <row r="29" spans="1:19" x14ac:dyDescent="0.2">
      <c r="A29" s="482" t="s">
        <v>93</v>
      </c>
      <c r="B29" s="552">
        <v>14.420500000000001</v>
      </c>
      <c r="C29" s="552">
        <v>16.514099999999999</v>
      </c>
      <c r="D29" s="552">
        <v>51.768800000000006</v>
      </c>
      <c r="E29" s="552">
        <v>15.242000000000001</v>
      </c>
      <c r="F29" s="552">
        <v>38.969499999999996</v>
      </c>
      <c r="G29" s="552">
        <v>42.749600000000001</v>
      </c>
      <c r="H29" s="552">
        <v>68.798500000000004</v>
      </c>
      <c r="I29" s="552">
        <v>85.291899999999998</v>
      </c>
      <c r="J29" s="552">
        <v>10.9322</v>
      </c>
      <c r="K29" s="552">
        <v>47.901000000000003</v>
      </c>
      <c r="L29" s="552">
        <v>46.173000000000002</v>
      </c>
      <c r="M29" s="552"/>
      <c r="N29" s="552">
        <v>2.9729999999999999</v>
      </c>
      <c r="O29" s="552">
        <v>2.3929999999999998</v>
      </c>
      <c r="P29" s="162">
        <f t="shared" si="0"/>
        <v>-0.58000000000000007</v>
      </c>
      <c r="Q29" s="706">
        <f t="shared" si="1"/>
        <v>-19.508913555331318</v>
      </c>
    </row>
    <row r="30" spans="1:19" x14ac:dyDescent="0.2">
      <c r="A30" s="482" t="s">
        <v>94</v>
      </c>
      <c r="B30" s="552">
        <v>13.8429</v>
      </c>
      <c r="C30" s="552">
        <v>11.485700000000001</v>
      </c>
      <c r="D30" s="552">
        <v>10.504899999999999</v>
      </c>
      <c r="E30" s="552">
        <v>11.835600000000001</v>
      </c>
      <c r="F30" s="552">
        <v>16.226200000000002</v>
      </c>
      <c r="G30" s="552">
        <v>17.110499999999998</v>
      </c>
      <c r="H30" s="552">
        <v>15.810600000000001</v>
      </c>
      <c r="I30" s="552">
        <v>18.247900000000001</v>
      </c>
      <c r="J30" s="552">
        <v>17.499299999999998</v>
      </c>
      <c r="K30" s="552">
        <v>17.4254</v>
      </c>
      <c r="L30" s="552">
        <v>19.574999999999999</v>
      </c>
      <c r="M30" s="552"/>
      <c r="N30" s="552">
        <v>1.702</v>
      </c>
      <c r="O30" s="552">
        <v>1.3740000000000001</v>
      </c>
      <c r="P30" s="162">
        <f t="shared" si="0"/>
        <v>-0.32799999999999985</v>
      </c>
      <c r="Q30" s="706">
        <f t="shared" si="1"/>
        <v>-19.271445358401873</v>
      </c>
    </row>
    <row r="31" spans="1:19" x14ac:dyDescent="0.2">
      <c r="A31" s="482" t="s">
        <v>297</v>
      </c>
      <c r="B31" s="552">
        <v>1.1337000000000002</v>
      </c>
      <c r="C31" s="552">
        <v>4.9173999999999998</v>
      </c>
      <c r="D31" s="552">
        <v>2.9072</v>
      </c>
      <c r="E31" s="552">
        <v>1.2764000000000002</v>
      </c>
      <c r="F31" s="552">
        <v>0</v>
      </c>
      <c r="G31" s="552">
        <v>0.2351</v>
      </c>
      <c r="H31" s="552">
        <v>2.2788000000000004</v>
      </c>
      <c r="I31" s="552">
        <v>3.6086999999999998</v>
      </c>
      <c r="J31" s="552">
        <v>0.76500000000000001</v>
      </c>
      <c r="K31" s="552">
        <v>0.97420000000000007</v>
      </c>
      <c r="L31" s="552">
        <v>0.02</v>
      </c>
      <c r="M31" s="552"/>
      <c r="N31" s="552">
        <v>0</v>
      </c>
      <c r="O31" s="552">
        <v>0</v>
      </c>
      <c r="P31" s="162">
        <f t="shared" si="0"/>
        <v>0</v>
      </c>
      <c r="Q31" s="707" t="s">
        <v>290</v>
      </c>
    </row>
    <row r="32" spans="1:19" x14ac:dyDescent="0.2">
      <c r="A32" s="482" t="s">
        <v>95</v>
      </c>
      <c r="B32" s="552">
        <v>1.2034</v>
      </c>
      <c r="C32" s="552">
        <v>1.1630999999999998</v>
      </c>
      <c r="D32" s="552">
        <v>1.9639000000000002</v>
      </c>
      <c r="E32" s="552">
        <v>1.9827999999999999</v>
      </c>
      <c r="F32" s="552">
        <v>1.8380000000000001</v>
      </c>
      <c r="G32" s="552">
        <v>1.0532000000000001</v>
      </c>
      <c r="H32" s="552">
        <v>2.1846999999999999</v>
      </c>
      <c r="I32" s="552">
        <v>5.6763000000000003</v>
      </c>
      <c r="J32" s="552">
        <v>3.4511999999999996</v>
      </c>
      <c r="K32" s="552">
        <v>2.0150000000000001</v>
      </c>
      <c r="L32" s="552">
        <v>14.337999999999999</v>
      </c>
      <c r="M32" s="552"/>
      <c r="N32" s="552">
        <v>0.121</v>
      </c>
      <c r="O32" s="552">
        <v>2.1480000000000001</v>
      </c>
      <c r="P32" s="162">
        <f t="shared" si="0"/>
        <v>2.0270000000000001</v>
      </c>
      <c r="Q32" s="706">
        <f t="shared" si="1"/>
        <v>1675.206611570248</v>
      </c>
    </row>
    <row r="33" spans="1:17" x14ac:dyDescent="0.2">
      <c r="A33" s="482" t="s">
        <v>96</v>
      </c>
      <c r="B33" s="552">
        <v>5.2923999999999998</v>
      </c>
      <c r="C33" s="552">
        <v>6.2153999999999998</v>
      </c>
      <c r="D33" s="552">
        <v>3.2364000000000002</v>
      </c>
      <c r="E33" s="552">
        <v>0.89229999999999998</v>
      </c>
      <c r="F33" s="552">
        <v>0.95210000000000006</v>
      </c>
      <c r="G33" s="552">
        <v>4.4767000000000001</v>
      </c>
      <c r="H33" s="552">
        <v>7</v>
      </c>
      <c r="I33" s="552">
        <v>8.5526</v>
      </c>
      <c r="J33" s="552">
        <v>1.4139000000000002</v>
      </c>
      <c r="K33" s="552">
        <v>3.1949999999999998</v>
      </c>
      <c r="L33" s="552">
        <v>2.9460000000000002</v>
      </c>
      <c r="M33" s="552"/>
      <c r="N33" s="552">
        <v>0.32400000000000001</v>
      </c>
      <c r="O33" s="552">
        <v>0.21299999999999999</v>
      </c>
      <c r="P33" s="162">
        <f t="shared" si="0"/>
        <v>-0.11100000000000002</v>
      </c>
      <c r="Q33" s="706">
        <f t="shared" si="1"/>
        <v>-34.25925925925926</v>
      </c>
    </row>
    <row r="34" spans="1:17" x14ac:dyDescent="0.2">
      <c r="A34" s="484" t="s">
        <v>90</v>
      </c>
      <c r="B34" s="552">
        <f t="shared" ref="B34:L34" si="9">B27-B28-B29-B30-B31-B32-B33</f>
        <v>1.1750999999999969</v>
      </c>
      <c r="C34" s="552">
        <f t="shared" si="9"/>
        <v>1.4112999999999998</v>
      </c>
      <c r="D34" s="552">
        <f t="shared" si="9"/>
        <v>0.33460000000001067</v>
      </c>
      <c r="E34" s="552">
        <f t="shared" si="9"/>
        <v>0.14049999999999618</v>
      </c>
      <c r="F34" s="552">
        <f t="shared" si="9"/>
        <v>0.3424000000000037</v>
      </c>
      <c r="G34" s="552">
        <f t="shared" si="9"/>
        <v>1.4858000000000011</v>
      </c>
      <c r="H34" s="552">
        <f t="shared" si="9"/>
        <v>1.4118000000000031</v>
      </c>
      <c r="I34" s="552">
        <f t="shared" si="9"/>
        <v>0.72819999999999574</v>
      </c>
      <c r="J34" s="552">
        <f t="shared" si="9"/>
        <v>0.5921000000000014</v>
      </c>
      <c r="K34" s="552">
        <f t="shared" si="9"/>
        <v>0.53739999999999899</v>
      </c>
      <c r="L34" s="552">
        <f t="shared" si="9"/>
        <v>0.77400000000000757</v>
      </c>
      <c r="M34" s="552"/>
      <c r="N34" s="552">
        <f t="shared" ref="N34:O34" si="10">N27-N28-N29-N30-N31-N32-N33</f>
        <v>4.6999999999999986E-2</v>
      </c>
      <c r="O34" s="552">
        <f t="shared" si="10"/>
        <v>0.10599999999999996</v>
      </c>
      <c r="P34" s="162">
        <f t="shared" si="0"/>
        <v>5.8999999999999969E-2</v>
      </c>
      <c r="Q34" s="706">
        <f t="shared" si="1"/>
        <v>125.53191489361699</v>
      </c>
    </row>
    <row r="35" spans="1:17" ht="8.25" customHeight="1" x14ac:dyDescent="0.2">
      <c r="A35" s="48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162"/>
      <c r="Q35" s="706"/>
    </row>
    <row r="36" spans="1:17" ht="12" x14ac:dyDescent="0.25">
      <c r="A36" s="485" t="s">
        <v>97</v>
      </c>
      <c r="B36" s="552">
        <f t="shared" ref="B36:L36" si="11">B42-B9-B20-B27</f>
        <v>40.310999999999886</v>
      </c>
      <c r="C36" s="552">
        <f t="shared" si="11"/>
        <v>24.679600000000221</v>
      </c>
      <c r="D36" s="552">
        <f t="shared" si="11"/>
        <v>2.9801999999999538</v>
      </c>
      <c r="E36" s="552">
        <f t="shared" si="11"/>
        <v>3.7662999999999727</v>
      </c>
      <c r="F36" s="552">
        <f t="shared" si="11"/>
        <v>4.3031000000000077</v>
      </c>
      <c r="G36" s="552">
        <f t="shared" si="11"/>
        <v>3.8922999999999206</v>
      </c>
      <c r="H36" s="552">
        <f t="shared" si="11"/>
        <v>1.8575999999998061</v>
      </c>
      <c r="I36" s="552">
        <f t="shared" si="11"/>
        <v>5.5751000000000204</v>
      </c>
      <c r="J36" s="552">
        <f t="shared" si="11"/>
        <v>2.0853999999999004</v>
      </c>
      <c r="K36" s="552">
        <f t="shared" si="11"/>
        <v>40.359999999999843</v>
      </c>
      <c r="L36" s="552">
        <f t="shared" si="11"/>
        <v>2.9760000000000417</v>
      </c>
      <c r="M36" s="552"/>
      <c r="N36" s="552">
        <f t="shared" ref="N36:O36" si="12">N42-N9-N20-N27</f>
        <v>4.7999999999994714E-2</v>
      </c>
      <c r="O36" s="552">
        <f t="shared" si="12"/>
        <v>9.6099999999995411E-2</v>
      </c>
      <c r="P36" s="162">
        <f t="shared" si="0"/>
        <v>4.8100000000000698E-2</v>
      </c>
      <c r="Q36" s="706">
        <f t="shared" si="1"/>
        <v>100.20833333334582</v>
      </c>
    </row>
    <row r="37" spans="1:17" x14ac:dyDescent="0.2">
      <c r="A37" s="482" t="s">
        <v>98</v>
      </c>
      <c r="B37" s="552">
        <v>0</v>
      </c>
      <c r="C37" s="552">
        <v>8.1599999999999992E-2</v>
      </c>
      <c r="D37" s="552">
        <v>0.38339999999999996</v>
      </c>
      <c r="E37" s="552">
        <v>1.4E-3</v>
      </c>
      <c r="F37" s="552">
        <v>0</v>
      </c>
      <c r="G37" s="552">
        <v>2.8300000000000002E-2</v>
      </c>
      <c r="H37" s="552">
        <v>1.6999999999999999E-3</v>
      </c>
      <c r="I37" s="552">
        <v>0</v>
      </c>
      <c r="J37" s="552">
        <v>0.03</v>
      </c>
      <c r="K37" s="552">
        <v>0</v>
      </c>
      <c r="L37" s="552">
        <v>0</v>
      </c>
      <c r="M37" s="552"/>
      <c r="N37" s="552">
        <v>0</v>
      </c>
      <c r="O37" s="552">
        <v>0</v>
      </c>
      <c r="P37" s="162">
        <f t="shared" si="0"/>
        <v>0</v>
      </c>
      <c r="Q37" s="707" t="s">
        <v>290</v>
      </c>
    </row>
    <row r="38" spans="1:17" x14ac:dyDescent="0.2">
      <c r="A38" s="482" t="s">
        <v>99</v>
      </c>
      <c r="B38" s="552">
        <v>1.0387999999999999</v>
      </c>
      <c r="C38" s="552">
        <v>0.87320000000000009</v>
      </c>
      <c r="D38" s="552">
        <v>0.57250000000000001</v>
      </c>
      <c r="E38" s="552">
        <v>2.4691999999999998</v>
      </c>
      <c r="F38" s="552">
        <v>1.3180000000000001</v>
      </c>
      <c r="G38" s="552">
        <v>0.67800000000000005</v>
      </c>
      <c r="H38" s="552">
        <v>0.7</v>
      </c>
      <c r="I38" s="552">
        <v>4.5999999999999996</v>
      </c>
      <c r="J38" s="552">
        <v>0.6</v>
      </c>
      <c r="K38" s="552">
        <v>0.65</v>
      </c>
      <c r="L38" s="552">
        <v>1.0049999999999999</v>
      </c>
      <c r="M38" s="552"/>
      <c r="N38" s="552">
        <v>3.5499999999999997E-2</v>
      </c>
      <c r="O38" s="552">
        <v>0</v>
      </c>
      <c r="P38" s="162">
        <f t="shared" si="0"/>
        <v>-3.5499999999999997E-2</v>
      </c>
      <c r="Q38" s="706">
        <f t="shared" si="1"/>
        <v>-100</v>
      </c>
    </row>
    <row r="39" spans="1:17" x14ac:dyDescent="0.2">
      <c r="A39" s="482" t="s">
        <v>100</v>
      </c>
      <c r="B39" s="552">
        <v>37.392800000000001</v>
      </c>
      <c r="C39" s="552">
        <v>23.089099999999998</v>
      </c>
      <c r="D39" s="552">
        <v>0.99150000000000005</v>
      </c>
      <c r="E39" s="552">
        <v>0.62590000000000001</v>
      </c>
      <c r="F39" s="552">
        <v>2.3090999999999999</v>
      </c>
      <c r="G39" s="552">
        <v>2.4241999999999999</v>
      </c>
      <c r="H39" s="552">
        <v>6.4500000000000002E-2</v>
      </c>
      <c r="I39" s="552">
        <v>0.31339999999999996</v>
      </c>
      <c r="J39" s="552">
        <v>0.24130000000000001</v>
      </c>
      <c r="K39" s="552">
        <v>38.592400000000005</v>
      </c>
      <c r="L39" s="552">
        <v>0.40400000000000003</v>
      </c>
      <c r="M39" s="552"/>
      <c r="N39" s="552">
        <v>0</v>
      </c>
      <c r="O39" s="552">
        <v>0.06</v>
      </c>
      <c r="P39" s="162">
        <f t="shared" si="0"/>
        <v>0.06</v>
      </c>
      <c r="Q39" s="707" t="s">
        <v>290</v>
      </c>
    </row>
    <row r="40" spans="1:17" x14ac:dyDescent="0.2">
      <c r="A40" s="482" t="s">
        <v>90</v>
      </c>
      <c r="B40" s="552">
        <f t="shared" ref="B40:G40" si="13">B36-B37-B38-B39</f>
        <v>1.8793999999998832</v>
      </c>
      <c r="C40" s="552">
        <f t="shared" si="13"/>
        <v>0.6357000000002202</v>
      </c>
      <c r="D40" s="552">
        <f t="shared" si="13"/>
        <v>1.032799999999954</v>
      </c>
      <c r="E40" s="552">
        <f t="shared" si="13"/>
        <v>0.66979999999997297</v>
      </c>
      <c r="F40" s="552">
        <f t="shared" si="13"/>
        <v>0.67600000000000771</v>
      </c>
      <c r="G40" s="552">
        <f t="shared" si="13"/>
        <v>0.76179999999992054</v>
      </c>
      <c r="H40" s="552">
        <f>H36-H37-H38-H39</f>
        <v>1.0913999999998061</v>
      </c>
      <c r="I40" s="552">
        <f>I36-I37-I38-I39</f>
        <v>0.66170000000002083</v>
      </c>
      <c r="J40" s="552">
        <f>J36-J37-J38-J39</f>
        <v>1.2140999999999005</v>
      </c>
      <c r="K40" s="552">
        <f t="shared" ref="K40:O40" si="14">K36-K37-K38-K39</f>
        <v>1.1175999999998396</v>
      </c>
      <c r="L40" s="552">
        <f t="shared" si="14"/>
        <v>1.5670000000000419</v>
      </c>
      <c r="M40" s="552"/>
      <c r="N40" s="552">
        <f t="shared" si="14"/>
        <v>1.2499999999994717E-2</v>
      </c>
      <c r="O40" s="552">
        <f t="shared" si="14"/>
        <v>3.6099999999995414E-2</v>
      </c>
      <c r="P40" s="162">
        <f t="shared" si="0"/>
        <v>2.3600000000000697E-2</v>
      </c>
      <c r="Q40" s="707" t="s">
        <v>290</v>
      </c>
    </row>
    <row r="41" spans="1:17" ht="6" customHeight="1" x14ac:dyDescent="0.2">
      <c r="A41" s="482"/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162"/>
      <c r="Q41" s="706"/>
    </row>
    <row r="42" spans="1:17" s="65" customFormat="1" ht="12" x14ac:dyDescent="0.25">
      <c r="A42" s="487" t="s">
        <v>101</v>
      </c>
      <c r="B42" s="555">
        <v>740.44919999999991</v>
      </c>
      <c r="C42" s="555">
        <v>789.44190000000003</v>
      </c>
      <c r="D42" s="555">
        <v>772.71580000000006</v>
      </c>
      <c r="E42" s="555">
        <v>750.51109999999994</v>
      </c>
      <c r="F42" s="555">
        <v>879.63930000000005</v>
      </c>
      <c r="G42" s="555">
        <v>925.60769999999991</v>
      </c>
      <c r="H42" s="555">
        <v>1191.7364</v>
      </c>
      <c r="I42" s="555">
        <v>1086.9518</v>
      </c>
      <c r="J42" s="556">
        <v>1203.3</v>
      </c>
      <c r="K42" s="557">
        <v>1272.3979999999999</v>
      </c>
      <c r="L42" s="557">
        <v>1420.248</v>
      </c>
      <c r="M42" s="557"/>
      <c r="N42" s="557">
        <v>89.649000000000001</v>
      </c>
      <c r="O42" s="557">
        <v>102.2371</v>
      </c>
      <c r="P42" s="205">
        <f t="shared" si="0"/>
        <v>12.588099999999997</v>
      </c>
      <c r="Q42" s="708">
        <f t="shared" si="1"/>
        <v>14.041539782931206</v>
      </c>
    </row>
    <row r="43" spans="1:17" ht="12" x14ac:dyDescent="0.25">
      <c r="A43" s="488" t="s">
        <v>338</v>
      </c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207"/>
      <c r="Q43" s="703"/>
    </row>
    <row r="44" spans="1:17" x14ac:dyDescent="0.2">
      <c r="A44" s="489"/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162"/>
      <c r="Q44" s="481"/>
    </row>
    <row r="45" spans="1:17" x14ac:dyDescent="0.2">
      <c r="A45" s="489" t="s">
        <v>304</v>
      </c>
      <c r="B45" s="552">
        <f t="shared" ref="B45:L45" si="15">B16-B63</f>
        <v>379.01609999999999</v>
      </c>
      <c r="C45" s="552">
        <f t="shared" si="15"/>
        <v>420.45729999999998</v>
      </c>
      <c r="D45" s="552">
        <f t="shared" si="15"/>
        <v>380.40469999999999</v>
      </c>
      <c r="E45" s="552">
        <f t="shared" si="15"/>
        <v>425.61460000000005</v>
      </c>
      <c r="F45" s="552">
        <f t="shared" si="15"/>
        <v>468.12069999999994</v>
      </c>
      <c r="G45" s="552">
        <f t="shared" si="15"/>
        <v>465.17790000000002</v>
      </c>
      <c r="H45" s="552">
        <f t="shared" si="15"/>
        <v>587.44670000000008</v>
      </c>
      <c r="I45" s="552">
        <f t="shared" si="15"/>
        <v>489.2516</v>
      </c>
      <c r="J45" s="552">
        <f t="shared" si="15"/>
        <v>675.97090000000003</v>
      </c>
      <c r="K45" s="552">
        <f t="shared" si="15"/>
        <v>632.41000000000008</v>
      </c>
      <c r="L45" s="552">
        <f t="shared" si="15"/>
        <v>745.68899999999996</v>
      </c>
      <c r="M45" s="552"/>
      <c r="N45" s="552">
        <f t="shared" ref="N45:O45" si="16">N16-N63</f>
        <v>43.89</v>
      </c>
      <c r="O45" s="552">
        <f t="shared" si="16"/>
        <v>53.936999999999998</v>
      </c>
      <c r="P45" s="162">
        <f t="shared" ref="P45:P59" si="17">O45-N45</f>
        <v>10.046999999999997</v>
      </c>
      <c r="Q45" s="706">
        <f t="shared" ref="Q45:Q59" si="18">P45/N45*100</f>
        <v>22.891319207108673</v>
      </c>
    </row>
    <row r="46" spans="1:17" x14ac:dyDescent="0.2">
      <c r="A46" s="489" t="s">
        <v>305</v>
      </c>
      <c r="B46" s="552">
        <f t="shared" ref="B46:L46" si="19">B17-B64</f>
        <v>42.056899999999999</v>
      </c>
      <c r="C46" s="552">
        <f t="shared" si="19"/>
        <v>64.799499999999995</v>
      </c>
      <c r="D46" s="552">
        <f t="shared" si="19"/>
        <v>34.221899999999998</v>
      </c>
      <c r="E46" s="552">
        <f t="shared" si="19"/>
        <v>26.918199999999999</v>
      </c>
      <c r="F46" s="552">
        <f t="shared" si="19"/>
        <v>18.103899999999999</v>
      </c>
      <c r="G46" s="552">
        <f t="shared" si="19"/>
        <v>13.742799999999999</v>
      </c>
      <c r="H46" s="552">
        <f t="shared" si="19"/>
        <v>19.109000000000002</v>
      </c>
      <c r="I46" s="552">
        <f t="shared" si="19"/>
        <v>16.189399999999999</v>
      </c>
      <c r="J46" s="552">
        <f t="shared" si="19"/>
        <v>17.525299999999998</v>
      </c>
      <c r="K46" s="552">
        <f t="shared" si="19"/>
        <v>20.328299999999999</v>
      </c>
      <c r="L46" s="552">
        <f t="shared" si="19"/>
        <v>28.55</v>
      </c>
      <c r="M46" s="552"/>
      <c r="N46" s="552">
        <f t="shared" ref="N46:O46" si="20">N17-N64</f>
        <v>2.8010000000000002</v>
      </c>
      <c r="O46" s="552">
        <f t="shared" si="20"/>
        <v>2.262</v>
      </c>
      <c r="P46" s="162">
        <f t="shared" si="17"/>
        <v>-0.53900000000000015</v>
      </c>
      <c r="Q46" s="706">
        <f t="shared" si="18"/>
        <v>-19.243127454480547</v>
      </c>
    </row>
    <row r="47" spans="1:17" x14ac:dyDescent="0.2">
      <c r="A47" s="489" t="s">
        <v>298</v>
      </c>
      <c r="B47" s="552">
        <f t="shared" ref="B47:L47" si="21">B11-B65</f>
        <v>2.0729000000000002</v>
      </c>
      <c r="C47" s="552">
        <f t="shared" si="21"/>
        <v>1.8913</v>
      </c>
      <c r="D47" s="552">
        <f t="shared" si="21"/>
        <v>1.2957000000000001</v>
      </c>
      <c r="E47" s="552">
        <f t="shared" si="21"/>
        <v>1.0533000000000001</v>
      </c>
      <c r="F47" s="552">
        <f t="shared" si="21"/>
        <v>1.0379999999999998</v>
      </c>
      <c r="G47" s="552">
        <f t="shared" si="21"/>
        <v>1.3723000000000001</v>
      </c>
      <c r="H47" s="552">
        <f t="shared" si="21"/>
        <v>3.7449000000000003</v>
      </c>
      <c r="I47" s="552">
        <f t="shared" si="21"/>
        <v>0.88489999999999991</v>
      </c>
      <c r="J47" s="552">
        <f t="shared" si="21"/>
        <v>0.31</v>
      </c>
      <c r="K47" s="552">
        <f t="shared" si="21"/>
        <v>1.8132000000000001</v>
      </c>
      <c r="L47" s="552">
        <f t="shared" si="21"/>
        <v>2.1879999999999997</v>
      </c>
      <c r="M47" s="552"/>
      <c r="N47" s="552">
        <f t="shared" ref="N47:O47" si="22">N11-N65</f>
        <v>4.2999999999999997E-2</v>
      </c>
      <c r="O47" s="552">
        <f t="shared" si="22"/>
        <v>0.29320000000000002</v>
      </c>
      <c r="P47" s="162">
        <f t="shared" si="17"/>
        <v>0.25020000000000003</v>
      </c>
      <c r="Q47" s="706">
        <f t="shared" si="18"/>
        <v>581.86046511627922</v>
      </c>
    </row>
    <row r="48" spans="1:17" x14ac:dyDescent="0.2">
      <c r="A48" s="489"/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162"/>
      <c r="Q48" s="709"/>
    </row>
    <row r="49" spans="1:20" x14ac:dyDescent="0.2">
      <c r="A49" s="489" t="s">
        <v>301</v>
      </c>
      <c r="B49" s="552">
        <f t="shared" ref="B49:L49" si="23">B13-B71</f>
        <v>122.6331</v>
      </c>
      <c r="C49" s="552">
        <f t="shared" si="23"/>
        <v>103.62959999999998</v>
      </c>
      <c r="D49" s="552">
        <f t="shared" si="23"/>
        <v>134.76840000000001</v>
      </c>
      <c r="E49" s="552">
        <f t="shared" si="23"/>
        <v>122.88510000000001</v>
      </c>
      <c r="F49" s="552">
        <f t="shared" si="23"/>
        <v>153.35199999999998</v>
      </c>
      <c r="G49" s="552">
        <f t="shared" si="23"/>
        <v>158.5488</v>
      </c>
      <c r="H49" s="552">
        <f t="shared" si="23"/>
        <v>183.47740000000002</v>
      </c>
      <c r="I49" s="552">
        <f t="shared" si="23"/>
        <v>185.8484</v>
      </c>
      <c r="J49" s="552">
        <f t="shared" si="23"/>
        <v>190.303</v>
      </c>
      <c r="K49" s="552">
        <f t="shared" si="23"/>
        <v>229.22400000000002</v>
      </c>
      <c r="L49" s="552">
        <f t="shared" si="23"/>
        <v>278.57499999999999</v>
      </c>
      <c r="M49" s="552"/>
      <c r="N49" s="552">
        <f t="shared" ref="N49:O49" si="24">N13-N71</f>
        <v>21.192</v>
      </c>
      <c r="O49" s="552">
        <f t="shared" si="24"/>
        <v>26.062999999999999</v>
      </c>
      <c r="P49" s="162">
        <f t="shared" si="17"/>
        <v>4.8709999999999987</v>
      </c>
      <c r="Q49" s="706">
        <f t="shared" si="18"/>
        <v>22.985088712721772</v>
      </c>
    </row>
    <row r="50" spans="1:20" x14ac:dyDescent="0.2">
      <c r="A50" s="489" t="s">
        <v>303</v>
      </c>
      <c r="B50" s="552">
        <f t="shared" ref="B50:L50" si="25">B15-B72</f>
        <v>26.180399999999999</v>
      </c>
      <c r="C50" s="552">
        <f t="shared" si="25"/>
        <v>24.611899999999999</v>
      </c>
      <c r="D50" s="552">
        <f t="shared" si="25"/>
        <v>26.616300000000003</v>
      </c>
      <c r="E50" s="552">
        <f t="shared" si="25"/>
        <v>20.0611</v>
      </c>
      <c r="F50" s="552">
        <f t="shared" si="25"/>
        <v>21.417100000000001</v>
      </c>
      <c r="G50" s="552">
        <f t="shared" si="25"/>
        <v>22.663999999999998</v>
      </c>
      <c r="H50" s="552">
        <f t="shared" si="25"/>
        <v>36.186199999999999</v>
      </c>
      <c r="I50" s="552">
        <f t="shared" si="25"/>
        <v>27.920999999999999</v>
      </c>
      <c r="J50" s="552">
        <f t="shared" si="25"/>
        <v>25.032699999999998</v>
      </c>
      <c r="K50" s="552">
        <f t="shared" si="25"/>
        <v>30.603100000000001</v>
      </c>
      <c r="L50" s="552">
        <f t="shared" si="25"/>
        <v>33.600999999999999</v>
      </c>
      <c r="M50" s="552"/>
      <c r="N50" s="552">
        <f t="shared" ref="N50:O50" si="26">N15-N72</f>
        <v>2.4780000000000002</v>
      </c>
      <c r="O50" s="552">
        <f t="shared" si="26"/>
        <v>2.0949999999999998</v>
      </c>
      <c r="P50" s="162">
        <f t="shared" si="17"/>
        <v>-0.38300000000000045</v>
      </c>
      <c r="Q50" s="706">
        <f t="shared" si="18"/>
        <v>-15.456012913640048</v>
      </c>
    </row>
    <row r="51" spans="1:20" x14ac:dyDescent="0.2">
      <c r="A51" s="489"/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2"/>
      <c r="P51" s="162"/>
      <c r="Q51" s="709"/>
    </row>
    <row r="52" spans="1:20" x14ac:dyDescent="0.2">
      <c r="A52" s="489" t="s">
        <v>92</v>
      </c>
      <c r="B52" s="552">
        <f t="shared" ref="B52:L52" si="27">B28-B79</f>
        <v>3.9796</v>
      </c>
      <c r="C52" s="552">
        <f t="shared" si="27"/>
        <v>5.3043999999999993</v>
      </c>
      <c r="D52" s="552">
        <f t="shared" si="27"/>
        <v>5.9314</v>
      </c>
      <c r="E52" s="552">
        <f t="shared" si="27"/>
        <v>4.9257</v>
      </c>
      <c r="F52" s="552">
        <f t="shared" si="27"/>
        <v>4.7638999999999996</v>
      </c>
      <c r="G52" s="552">
        <f t="shared" si="27"/>
        <v>5.9671000000000003</v>
      </c>
      <c r="H52" s="552">
        <f t="shared" si="27"/>
        <v>7.8389000000000006</v>
      </c>
      <c r="I52" s="552">
        <f t="shared" si="27"/>
        <v>10.296599999999998</v>
      </c>
      <c r="J52" s="552">
        <f t="shared" si="27"/>
        <v>12.257100000000001</v>
      </c>
      <c r="K52" s="552">
        <f t="shared" si="27"/>
        <v>11.301599999999999</v>
      </c>
      <c r="L52" s="552">
        <f t="shared" si="27"/>
        <v>11.463000000000001</v>
      </c>
      <c r="M52" s="552"/>
      <c r="N52" s="552">
        <f t="shared" ref="N52:O52" si="28">N28-N79</f>
        <v>1.0409999999999999</v>
      </c>
      <c r="O52" s="552">
        <f t="shared" si="28"/>
        <v>0.83899999999999997</v>
      </c>
      <c r="P52" s="162">
        <f t="shared" si="17"/>
        <v>-0.20199999999999996</v>
      </c>
      <c r="Q52" s="706">
        <f t="shared" si="18"/>
        <v>-19.404418828049948</v>
      </c>
    </row>
    <row r="53" spans="1:20" x14ac:dyDescent="0.2">
      <c r="A53" s="489" t="s">
        <v>93</v>
      </c>
      <c r="B53" s="552">
        <f t="shared" ref="B53:L53" si="29">B29-B80</f>
        <v>14.4024</v>
      </c>
      <c r="C53" s="552">
        <f t="shared" si="29"/>
        <v>16.514099999999999</v>
      </c>
      <c r="D53" s="552">
        <f t="shared" si="29"/>
        <v>51.748800000000003</v>
      </c>
      <c r="E53" s="552">
        <f t="shared" si="29"/>
        <v>15.232600000000001</v>
      </c>
      <c r="F53" s="552">
        <f t="shared" si="29"/>
        <v>38.969499999999996</v>
      </c>
      <c r="G53" s="552">
        <f t="shared" si="29"/>
        <v>42.745699999999999</v>
      </c>
      <c r="H53" s="552">
        <f t="shared" si="29"/>
        <v>68.496400000000008</v>
      </c>
      <c r="I53" s="552">
        <f t="shared" si="29"/>
        <v>84.012599999999992</v>
      </c>
      <c r="J53" s="552">
        <f t="shared" si="29"/>
        <v>10.8797</v>
      </c>
      <c r="K53" s="552">
        <f t="shared" si="29"/>
        <v>47.290000000000006</v>
      </c>
      <c r="L53" s="552">
        <f t="shared" si="29"/>
        <v>43.913000000000004</v>
      </c>
      <c r="M53" s="552"/>
      <c r="N53" s="552">
        <f t="shared" ref="N53:O53" si="30">N29-N80</f>
        <v>2.6579999999999999</v>
      </c>
      <c r="O53" s="552">
        <f t="shared" si="30"/>
        <v>2.2549999999999999</v>
      </c>
      <c r="P53" s="162">
        <f t="shared" si="17"/>
        <v>-0.40300000000000002</v>
      </c>
      <c r="Q53" s="706">
        <f t="shared" si="18"/>
        <v>-15.161775771256586</v>
      </c>
    </row>
    <row r="54" spans="1:20" x14ac:dyDescent="0.2">
      <c r="A54" s="489" t="s">
        <v>95</v>
      </c>
      <c r="B54" s="552">
        <f t="shared" ref="B54:J54" si="31">B32-B78</f>
        <v>0.54920000000000002</v>
      </c>
      <c r="C54" s="552">
        <f t="shared" si="31"/>
        <v>0.44489999999999974</v>
      </c>
      <c r="D54" s="552">
        <f t="shared" si="31"/>
        <v>1.4406000000000003</v>
      </c>
      <c r="E54" s="552">
        <f t="shared" si="31"/>
        <v>1.3384999999999998</v>
      </c>
      <c r="F54" s="552">
        <f t="shared" si="31"/>
        <v>1.2538</v>
      </c>
      <c r="G54" s="552">
        <f t="shared" si="31"/>
        <v>0.37570000000000014</v>
      </c>
      <c r="H54" s="552">
        <f t="shared" si="31"/>
        <v>1.1707000000000001</v>
      </c>
      <c r="I54" s="552">
        <f t="shared" si="31"/>
        <v>5.1652000000000005</v>
      </c>
      <c r="J54" s="552">
        <f t="shared" si="31"/>
        <v>2.8479999999999994</v>
      </c>
      <c r="K54" s="552">
        <f t="shared" ref="K54:L54" si="32">K32-K78</f>
        <v>1.9529000000000001</v>
      </c>
      <c r="L54" s="552">
        <f t="shared" si="32"/>
        <v>14.287999999999998</v>
      </c>
      <c r="M54" s="552"/>
      <c r="N54" s="552">
        <f t="shared" ref="N54:O54" si="33">N32-N78</f>
        <v>0.121</v>
      </c>
      <c r="O54" s="552">
        <f t="shared" si="33"/>
        <v>2.113</v>
      </c>
      <c r="P54" s="162">
        <f t="shared" si="17"/>
        <v>1.992</v>
      </c>
      <c r="Q54" s="711">
        <f t="shared" si="18"/>
        <v>1646.2809917355371</v>
      </c>
    </row>
    <row r="55" spans="1:20" x14ac:dyDescent="0.2">
      <c r="A55" s="489" t="s">
        <v>94</v>
      </c>
      <c r="B55" s="552">
        <f t="shared" ref="B55:L55" si="34">B30-B77</f>
        <v>13.822900000000001</v>
      </c>
      <c r="C55" s="552">
        <f t="shared" si="34"/>
        <v>11.408300000000001</v>
      </c>
      <c r="D55" s="552">
        <f t="shared" si="34"/>
        <v>10.458599999999999</v>
      </c>
      <c r="E55" s="552">
        <f t="shared" si="34"/>
        <v>11.835600000000001</v>
      </c>
      <c r="F55" s="552">
        <f t="shared" si="34"/>
        <v>16.137500000000003</v>
      </c>
      <c r="G55" s="552">
        <f t="shared" si="34"/>
        <v>16.956</v>
      </c>
      <c r="H55" s="552">
        <f t="shared" si="34"/>
        <v>15.658300000000001</v>
      </c>
      <c r="I55" s="552">
        <f t="shared" si="34"/>
        <v>18.111000000000001</v>
      </c>
      <c r="J55" s="552">
        <f t="shared" si="34"/>
        <v>17.329899999999999</v>
      </c>
      <c r="K55" s="552">
        <f t="shared" si="34"/>
        <v>17.352899999999998</v>
      </c>
      <c r="L55" s="552">
        <f t="shared" si="34"/>
        <v>19.454999999999998</v>
      </c>
      <c r="M55" s="552"/>
      <c r="N55" s="552">
        <f t="shared" ref="N55:O55" si="35">N30-N77</f>
        <v>1.6879999999999999</v>
      </c>
      <c r="O55" s="552">
        <f t="shared" si="35"/>
        <v>1.3640000000000001</v>
      </c>
      <c r="P55" s="162">
        <f t="shared" si="17"/>
        <v>-0.32399999999999984</v>
      </c>
      <c r="Q55" s="706">
        <f t="shared" si="18"/>
        <v>-19.194312796208521</v>
      </c>
    </row>
    <row r="56" spans="1:20" x14ac:dyDescent="0.2">
      <c r="A56" s="489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162"/>
      <c r="Q56" s="709"/>
    </row>
    <row r="57" spans="1:20" x14ac:dyDescent="0.2">
      <c r="A57" s="489" t="s">
        <v>90</v>
      </c>
      <c r="B57" s="552">
        <f t="shared" ref="B57:J57" si="36">B59-SUM(B45:B56)</f>
        <v>51.604999999999791</v>
      </c>
      <c r="C57" s="552">
        <f t="shared" si="36"/>
        <v>48.759500000000116</v>
      </c>
      <c r="D57" s="552">
        <f t="shared" si="36"/>
        <v>21.933099999999968</v>
      </c>
      <c r="E57" s="552">
        <f t="shared" si="36"/>
        <v>18.502699999999891</v>
      </c>
      <c r="F57" s="552">
        <f t="shared" si="36"/>
        <v>22.603000000000065</v>
      </c>
      <c r="G57" s="552">
        <f t="shared" si="36"/>
        <v>21.344799999999964</v>
      </c>
      <c r="H57" s="552">
        <f t="shared" si="36"/>
        <v>27.458899999999858</v>
      </c>
      <c r="I57" s="552">
        <f t="shared" si="36"/>
        <v>35.713199999999915</v>
      </c>
      <c r="J57" s="552">
        <f t="shared" si="36"/>
        <v>25.117400000000089</v>
      </c>
      <c r="K57" s="552">
        <f t="shared" ref="K57:L57" si="37">K59-SUM(K45:K56)</f>
        <v>24.706999999999766</v>
      </c>
      <c r="L57" s="552">
        <f t="shared" si="37"/>
        <v>42.41599999999994</v>
      </c>
      <c r="M57" s="552"/>
      <c r="N57" s="552">
        <f t="shared" ref="N57:O57" si="38">N59-SUM(N45:N56)</f>
        <v>1.4390000000000072</v>
      </c>
      <c r="O57" s="552">
        <f t="shared" si="38"/>
        <v>1.4269000000000034</v>
      </c>
      <c r="P57" s="162">
        <f t="shared" si="17"/>
        <v>-1.2100000000003774E-2</v>
      </c>
      <c r="Q57" s="706">
        <f t="shared" si="18"/>
        <v>-0.84086170952075845</v>
      </c>
    </row>
    <row r="58" spans="1:20" ht="12" x14ac:dyDescent="0.25">
      <c r="A58" s="490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162"/>
      <c r="Q58" s="709"/>
    </row>
    <row r="59" spans="1:20" ht="12" x14ac:dyDescent="0.25">
      <c r="A59" s="490" t="s">
        <v>339</v>
      </c>
      <c r="B59" s="552">
        <f t="shared" ref="B59:J59" si="39">B42-B86</f>
        <v>656.31849999999986</v>
      </c>
      <c r="C59" s="552">
        <f t="shared" si="39"/>
        <v>697.82080000000008</v>
      </c>
      <c r="D59" s="552">
        <f t="shared" si="39"/>
        <v>668.81950000000006</v>
      </c>
      <c r="E59" s="552">
        <f t="shared" si="39"/>
        <v>648.36739999999998</v>
      </c>
      <c r="F59" s="552">
        <f t="shared" si="39"/>
        <v>745.75940000000003</v>
      </c>
      <c r="G59" s="552">
        <f t="shared" si="39"/>
        <v>748.89509999999996</v>
      </c>
      <c r="H59" s="552">
        <f t="shared" si="39"/>
        <v>950.5874</v>
      </c>
      <c r="I59" s="552">
        <f t="shared" si="39"/>
        <v>873.39390000000003</v>
      </c>
      <c r="J59" s="552">
        <f t="shared" si="39"/>
        <v>977.57399999999996</v>
      </c>
      <c r="K59" s="552">
        <f t="shared" ref="K59:L59" si="40">K42-K86</f>
        <v>1016.9829999999999</v>
      </c>
      <c r="L59" s="552">
        <f t="shared" si="40"/>
        <v>1220.1379999999999</v>
      </c>
      <c r="M59" s="552"/>
      <c r="N59" s="552">
        <f t="shared" ref="N59:O59" si="41">N42-N86</f>
        <v>77.350999999999999</v>
      </c>
      <c r="O59" s="552">
        <f t="shared" si="41"/>
        <v>92.648099999999999</v>
      </c>
      <c r="P59" s="162">
        <f t="shared" si="17"/>
        <v>15.2971</v>
      </c>
      <c r="Q59" s="706">
        <f t="shared" si="18"/>
        <v>19.776214916419956</v>
      </c>
    </row>
    <row r="60" spans="1:20" ht="12" x14ac:dyDescent="0.25">
      <c r="A60" s="491"/>
      <c r="B60" s="555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205"/>
      <c r="Q60" s="708"/>
    </row>
    <row r="61" spans="1:20" ht="12" x14ac:dyDescent="0.25">
      <c r="A61" s="492" t="s">
        <v>340</v>
      </c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162"/>
      <c r="Q61" s="706"/>
    </row>
    <row r="62" spans="1:20" ht="12" x14ac:dyDescent="0.25">
      <c r="A62" s="490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162"/>
      <c r="Q62" s="706"/>
    </row>
    <row r="63" spans="1:20" x14ac:dyDescent="0.2">
      <c r="A63" s="489" t="s">
        <v>304</v>
      </c>
      <c r="B63" s="552">
        <v>49.573099999999997</v>
      </c>
      <c r="C63" s="552">
        <v>51.756999999999991</v>
      </c>
      <c r="D63" s="552">
        <v>56.936900000000001</v>
      </c>
      <c r="E63" s="552">
        <v>56.711300000000001</v>
      </c>
      <c r="F63" s="552">
        <v>61.212999999999987</v>
      </c>
      <c r="G63" s="552">
        <v>65.993299999999991</v>
      </c>
      <c r="H63" s="552">
        <v>95.36569999999999</v>
      </c>
      <c r="I63" s="552">
        <v>62.7774</v>
      </c>
      <c r="J63" s="552">
        <v>69.629100000000008</v>
      </c>
      <c r="K63" s="552">
        <v>56.809000000000005</v>
      </c>
      <c r="L63" s="552">
        <v>58.1</v>
      </c>
      <c r="M63" s="552"/>
      <c r="N63" s="552">
        <v>3.9060000000000001</v>
      </c>
      <c r="O63" s="552">
        <v>4.7619999999999996</v>
      </c>
      <c r="P63" s="162">
        <f t="shared" ref="P63:P86" si="42">O63-N63</f>
        <v>0.85599999999999943</v>
      </c>
      <c r="Q63" s="710">
        <f t="shared" ref="Q63:Q86" si="43">P63/N63*100</f>
        <v>21.915002560163835</v>
      </c>
      <c r="R63" s="95"/>
      <c r="S63" s="95"/>
      <c r="T63" s="95"/>
    </row>
    <row r="64" spans="1:20" x14ac:dyDescent="0.2">
      <c r="A64" s="489" t="s">
        <v>305</v>
      </c>
      <c r="B64" s="552">
        <v>3.2952000000000004</v>
      </c>
      <c r="C64" s="552">
        <v>2.6549999999999998</v>
      </c>
      <c r="D64" s="552">
        <v>1.3947000000000001</v>
      </c>
      <c r="E64" s="552">
        <v>2.0673000000000004</v>
      </c>
      <c r="F64" s="552">
        <v>1.4469000000000001</v>
      </c>
      <c r="G64" s="552">
        <v>1.8099999999999998</v>
      </c>
      <c r="H64" s="552">
        <v>2.238</v>
      </c>
      <c r="I64" s="552">
        <v>2.2696000000000001</v>
      </c>
      <c r="J64" s="552">
        <v>2.9127000000000001</v>
      </c>
      <c r="K64" s="552">
        <v>6.2346999999999992</v>
      </c>
      <c r="L64" s="552">
        <v>5.63</v>
      </c>
      <c r="M64" s="552"/>
      <c r="N64" s="552">
        <v>0.65400000000000003</v>
      </c>
      <c r="O64" s="552">
        <v>0.27800000000000002</v>
      </c>
      <c r="P64" s="162">
        <f t="shared" si="42"/>
        <v>-0.376</v>
      </c>
      <c r="Q64" s="710">
        <f t="shared" si="43"/>
        <v>-57.49235474006116</v>
      </c>
      <c r="R64" s="95"/>
      <c r="S64" s="95"/>
      <c r="T64" s="95"/>
    </row>
    <row r="65" spans="1:20" x14ac:dyDescent="0.2">
      <c r="A65" s="489" t="s">
        <v>298</v>
      </c>
      <c r="B65" s="552">
        <v>5.8200000000000002E-2</v>
      </c>
      <c r="C65" s="552">
        <v>0.15290000000000001</v>
      </c>
      <c r="D65" s="552">
        <v>0.06</v>
      </c>
      <c r="E65" s="552">
        <v>0.20660000000000001</v>
      </c>
      <c r="F65" s="552">
        <v>0.14460000000000001</v>
      </c>
      <c r="G65" s="552">
        <v>3.8600000000000002E-2</v>
      </c>
      <c r="H65" s="552">
        <v>0.25160000000000005</v>
      </c>
      <c r="I65" s="552">
        <v>0.15209999999999999</v>
      </c>
      <c r="J65" s="552">
        <v>0</v>
      </c>
      <c r="K65" s="552">
        <v>1.1907999999999999</v>
      </c>
      <c r="L65" s="552">
        <v>1.08</v>
      </c>
      <c r="M65" s="552"/>
      <c r="N65" s="552">
        <v>0.08</v>
      </c>
      <c r="O65" s="552">
        <v>0</v>
      </c>
      <c r="P65" s="162">
        <f t="shared" si="42"/>
        <v>-0.08</v>
      </c>
      <c r="Q65" s="710">
        <f t="shared" si="43"/>
        <v>-100</v>
      </c>
      <c r="R65" s="95"/>
      <c r="S65" s="95"/>
      <c r="T65" s="95"/>
    </row>
    <row r="66" spans="1:20" x14ac:dyDescent="0.2">
      <c r="A66" s="489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493"/>
      <c r="Q66" s="710"/>
      <c r="R66" s="95"/>
      <c r="S66" s="95"/>
      <c r="T66" s="95"/>
    </row>
    <row r="67" spans="1:20" x14ac:dyDescent="0.2">
      <c r="A67" s="489" t="s">
        <v>300</v>
      </c>
      <c r="B67" s="552">
        <v>1.4275</v>
      </c>
      <c r="C67" s="552">
        <v>2.2806999999999999</v>
      </c>
      <c r="D67" s="552">
        <v>2.1141000000000001</v>
      </c>
      <c r="E67" s="552">
        <v>2.7900999999999998</v>
      </c>
      <c r="F67" s="552">
        <v>27.838400000000004</v>
      </c>
      <c r="G67" s="552">
        <v>64.927899999999994</v>
      </c>
      <c r="H67" s="552">
        <v>85.809799999999996</v>
      </c>
      <c r="I67" s="552">
        <v>64.177500000000009</v>
      </c>
      <c r="J67" s="552">
        <v>85.011600000000001</v>
      </c>
      <c r="K67" s="552">
        <v>84.59620000000001</v>
      </c>
      <c r="L67" s="552">
        <v>63.62</v>
      </c>
      <c r="M67" s="552"/>
      <c r="N67" s="552">
        <v>6.7000000000000004E-2</v>
      </c>
      <c r="O67" s="552">
        <v>8.8999999999999996E-2</v>
      </c>
      <c r="P67" s="162">
        <f t="shared" si="42"/>
        <v>2.1999999999999992E-2</v>
      </c>
      <c r="Q67" s="710">
        <f t="shared" si="43"/>
        <v>32.835820895522374</v>
      </c>
      <c r="R67" s="95"/>
      <c r="S67" s="95"/>
      <c r="T67" s="95"/>
    </row>
    <row r="68" spans="1:20" x14ac:dyDescent="0.2">
      <c r="A68" s="489" t="s">
        <v>302</v>
      </c>
      <c r="B68" s="552">
        <v>7.1900000000000006E-2</v>
      </c>
      <c r="C68" s="552">
        <v>0.17710000000000001</v>
      </c>
      <c r="D68" s="552">
        <v>0.84090000000000009</v>
      </c>
      <c r="E68" s="552">
        <v>1.7438000000000002</v>
      </c>
      <c r="F68" s="552">
        <v>1.673</v>
      </c>
      <c r="G68" s="552">
        <v>1.9112000000000002</v>
      </c>
      <c r="H68" s="552">
        <v>2.0371999999999999</v>
      </c>
      <c r="I68" s="552">
        <v>1.9232</v>
      </c>
      <c r="J68" s="552">
        <v>2.4015</v>
      </c>
      <c r="K68" s="552">
        <v>5.8289999999999997</v>
      </c>
      <c r="L68" s="552">
        <v>6.94</v>
      </c>
      <c r="M68" s="552"/>
      <c r="N68" s="552">
        <v>0.59899999999999998</v>
      </c>
      <c r="O68" s="552">
        <v>0.45300000000000001</v>
      </c>
      <c r="P68" s="162">
        <f t="shared" si="42"/>
        <v>-0.14599999999999996</v>
      </c>
      <c r="Q68" s="710">
        <f t="shared" si="43"/>
        <v>-24.373956594323868</v>
      </c>
      <c r="R68" s="95"/>
      <c r="S68" s="95"/>
      <c r="T68" s="95"/>
    </row>
    <row r="69" spans="1:20" x14ac:dyDescent="0.2">
      <c r="A69" s="489" t="s">
        <v>459</v>
      </c>
      <c r="B69" s="552">
        <v>7.3999999999999996E-2</v>
      </c>
      <c r="C69" s="552">
        <v>0.34499999999999997</v>
      </c>
      <c r="D69" s="552">
        <v>0.69499999999999995</v>
      </c>
      <c r="E69" s="552">
        <v>0.307</v>
      </c>
      <c r="F69" s="552">
        <v>0.313</v>
      </c>
      <c r="G69" s="552">
        <v>0.24099999999999999</v>
      </c>
      <c r="H69" s="552">
        <v>0.44400000000000001</v>
      </c>
      <c r="I69" s="552">
        <v>0.36599999999999999</v>
      </c>
      <c r="J69" s="552">
        <v>0.61899999999999999</v>
      </c>
      <c r="K69" s="552">
        <v>3.7519999999999998</v>
      </c>
      <c r="L69" s="552">
        <v>2.2400000000000002</v>
      </c>
      <c r="M69" s="552"/>
      <c r="N69" s="552">
        <v>0.28000000000000003</v>
      </c>
      <c r="O69" s="552">
        <v>9.6000000000000002E-2</v>
      </c>
      <c r="P69" s="162">
        <f t="shared" si="42"/>
        <v>-0.18400000000000002</v>
      </c>
      <c r="Q69" s="710">
        <f t="shared" si="43"/>
        <v>-65.714285714285708</v>
      </c>
      <c r="R69" s="95"/>
      <c r="S69" s="95"/>
      <c r="T69" s="95"/>
    </row>
    <row r="70" spans="1:20" x14ac:dyDescent="0.2">
      <c r="A70" s="489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493"/>
      <c r="Q70" s="710"/>
      <c r="R70" s="95"/>
      <c r="S70" s="95"/>
      <c r="T70" s="95"/>
    </row>
    <row r="71" spans="1:20" x14ac:dyDescent="0.2">
      <c r="A71" s="489" t="s">
        <v>301</v>
      </c>
      <c r="B71" s="552">
        <v>16.1554</v>
      </c>
      <c r="C71" s="552">
        <v>25.065300000000001</v>
      </c>
      <c r="D71" s="552">
        <v>31.812799999999999</v>
      </c>
      <c r="E71" s="552">
        <v>27.163900000000002</v>
      </c>
      <c r="F71" s="552">
        <v>29.89</v>
      </c>
      <c r="G71" s="552">
        <v>29.370200000000001</v>
      </c>
      <c r="H71" s="552">
        <v>42.47059999999999</v>
      </c>
      <c r="I71" s="552">
        <v>65.754600000000011</v>
      </c>
      <c r="J71" s="552">
        <v>50.166999999999994</v>
      </c>
      <c r="K71" s="552">
        <v>40.253999999999998</v>
      </c>
      <c r="L71" s="552">
        <v>33.33</v>
      </c>
      <c r="M71" s="552"/>
      <c r="N71" s="552">
        <v>4.6109999999999998</v>
      </c>
      <c r="O71" s="552">
        <v>2.3140000000000001</v>
      </c>
      <c r="P71" s="162">
        <f t="shared" si="42"/>
        <v>-2.2969999999999997</v>
      </c>
      <c r="Q71" s="710">
        <f t="shared" si="43"/>
        <v>-49.815658208631532</v>
      </c>
      <c r="R71" s="95"/>
      <c r="S71" s="95"/>
      <c r="T71" s="95"/>
    </row>
    <row r="72" spans="1:20" x14ac:dyDescent="0.2">
      <c r="A72" s="489" t="s">
        <v>303</v>
      </c>
      <c r="B72" s="552">
        <v>0.46539999999999998</v>
      </c>
      <c r="C72" s="552">
        <v>0.54390000000000005</v>
      </c>
      <c r="D72" s="552">
        <v>0.98509999999999986</v>
      </c>
      <c r="E72" s="552">
        <v>0.89810000000000001</v>
      </c>
      <c r="F72" s="552">
        <v>0.50490000000000002</v>
      </c>
      <c r="G72" s="552">
        <v>0.50859999999999994</v>
      </c>
      <c r="H72" s="552">
        <v>0.33760000000000001</v>
      </c>
      <c r="I72" s="552">
        <v>0.316</v>
      </c>
      <c r="J72" s="552">
        <v>0.15629999999999999</v>
      </c>
      <c r="K72" s="552">
        <v>0.65990000000000004</v>
      </c>
      <c r="L72" s="552">
        <v>0.7</v>
      </c>
      <c r="M72" s="552"/>
      <c r="N72" s="552">
        <v>9.7000000000000003E-2</v>
      </c>
      <c r="O72" s="552">
        <v>3.0000000000000001E-3</v>
      </c>
      <c r="P72" s="162">
        <f t="shared" si="42"/>
        <v>-9.4E-2</v>
      </c>
      <c r="Q72" s="710">
        <f t="shared" si="43"/>
        <v>-96.907216494845358</v>
      </c>
      <c r="R72" s="95"/>
      <c r="S72" s="95"/>
      <c r="T72" s="95"/>
    </row>
    <row r="73" spans="1:20" x14ac:dyDescent="0.2">
      <c r="A73" s="489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493"/>
      <c r="Q73" s="710"/>
      <c r="R73" s="95"/>
      <c r="S73" s="95"/>
      <c r="T73" s="95"/>
    </row>
    <row r="74" spans="1:20" x14ac:dyDescent="0.2">
      <c r="A74" s="489" t="s">
        <v>86</v>
      </c>
      <c r="B74" s="552">
        <v>3.1988999999999996</v>
      </c>
      <c r="C74" s="552">
        <v>3.4453</v>
      </c>
      <c r="D74" s="552">
        <v>3.8453999999999997</v>
      </c>
      <c r="E74" s="552">
        <v>4.6481000000000003</v>
      </c>
      <c r="F74" s="552">
        <v>3.9113000000000002</v>
      </c>
      <c r="G74" s="552">
        <v>3.4058999999999999</v>
      </c>
      <c r="H74" s="552">
        <v>3.4617999999999998</v>
      </c>
      <c r="I74" s="552">
        <v>3.3758999999999997</v>
      </c>
      <c r="J74" s="552">
        <v>3.7984999999999998</v>
      </c>
      <c r="K74" s="552">
        <v>4.4707999999999997</v>
      </c>
      <c r="L74" s="552">
        <v>4.16</v>
      </c>
      <c r="M74" s="552"/>
      <c r="N74" s="552">
        <v>0.50900000000000001</v>
      </c>
      <c r="O74" s="552">
        <v>0.53500000000000003</v>
      </c>
      <c r="P74" s="162">
        <f t="shared" si="42"/>
        <v>2.6000000000000023E-2</v>
      </c>
      <c r="Q74" s="710">
        <f t="shared" si="43"/>
        <v>5.1080550098231869</v>
      </c>
      <c r="R74" s="95"/>
      <c r="S74" s="95"/>
      <c r="T74" s="95"/>
    </row>
    <row r="75" spans="1:20" x14ac:dyDescent="0.2">
      <c r="A75" s="489" t="s">
        <v>87</v>
      </c>
      <c r="B75" s="552">
        <v>1.028</v>
      </c>
      <c r="C75" s="552">
        <v>1.1619999999999999</v>
      </c>
      <c r="D75" s="552">
        <v>1.81</v>
      </c>
      <c r="E75" s="552">
        <v>1.1639999999999999</v>
      </c>
      <c r="F75" s="552">
        <v>1.5861000000000001</v>
      </c>
      <c r="G75" s="552">
        <v>2.5030999999999999</v>
      </c>
      <c r="H75" s="552">
        <v>1.8060999999999998</v>
      </c>
      <c r="I75" s="552">
        <v>1.9566000000000001</v>
      </c>
      <c r="J75" s="552">
        <v>1.6889000000000001</v>
      </c>
      <c r="K75" s="552">
        <v>1.7916999999999998</v>
      </c>
      <c r="L75" s="552">
        <v>1.23</v>
      </c>
      <c r="M75" s="552"/>
      <c r="N75" s="552">
        <v>0.14299999999999999</v>
      </c>
      <c r="O75" s="552">
        <v>9.4E-2</v>
      </c>
      <c r="P75" s="162">
        <f t="shared" si="42"/>
        <v>-4.8999999999999988E-2</v>
      </c>
      <c r="Q75" s="710">
        <f t="shared" si="43"/>
        <v>-34.26573426573426</v>
      </c>
      <c r="R75" s="95"/>
      <c r="S75" s="95"/>
      <c r="T75" s="95"/>
    </row>
    <row r="76" spans="1:20" x14ac:dyDescent="0.2">
      <c r="A76" s="489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493"/>
      <c r="Q76" s="710"/>
      <c r="R76" s="95"/>
      <c r="S76" s="95"/>
      <c r="T76" s="95"/>
    </row>
    <row r="77" spans="1:20" ht="9.75" customHeight="1" x14ac:dyDescent="0.2">
      <c r="A77" s="489" t="s">
        <v>94</v>
      </c>
      <c r="B77" s="552">
        <v>0.02</v>
      </c>
      <c r="C77" s="552">
        <v>7.740000000000001E-2</v>
      </c>
      <c r="D77" s="552">
        <v>4.6299999999999994E-2</v>
      </c>
      <c r="E77" s="552">
        <v>0</v>
      </c>
      <c r="F77" s="552">
        <v>8.8700000000000001E-2</v>
      </c>
      <c r="G77" s="552">
        <v>0.15449999999999997</v>
      </c>
      <c r="H77" s="552">
        <v>0.15230000000000002</v>
      </c>
      <c r="I77" s="552">
        <v>0.13690000000000002</v>
      </c>
      <c r="J77" s="552">
        <v>0.1694</v>
      </c>
      <c r="K77" s="552">
        <v>7.2500000000000009E-2</v>
      </c>
      <c r="L77" s="552">
        <v>0.12</v>
      </c>
      <c r="M77" s="552"/>
      <c r="N77" s="552">
        <v>1.4E-2</v>
      </c>
      <c r="O77" s="552">
        <v>0.01</v>
      </c>
      <c r="P77" s="162">
        <f t="shared" si="42"/>
        <v>-4.0000000000000001E-3</v>
      </c>
      <c r="Q77" s="710">
        <f t="shared" si="43"/>
        <v>-28.571428571428569</v>
      </c>
      <c r="R77" s="95"/>
      <c r="S77" s="95"/>
      <c r="T77" s="95"/>
    </row>
    <row r="78" spans="1:20" ht="9.75" customHeight="1" x14ac:dyDescent="0.2">
      <c r="A78" s="489" t="s">
        <v>95</v>
      </c>
      <c r="B78" s="552">
        <v>0.6542</v>
      </c>
      <c r="C78" s="552">
        <v>0.71820000000000006</v>
      </c>
      <c r="D78" s="552">
        <v>0.52329999999999999</v>
      </c>
      <c r="E78" s="552">
        <v>0.64429999999999998</v>
      </c>
      <c r="F78" s="552">
        <v>0.58420000000000005</v>
      </c>
      <c r="G78" s="552">
        <v>0.67749999999999999</v>
      </c>
      <c r="H78" s="552">
        <v>1.0139999999999998</v>
      </c>
      <c r="I78" s="552">
        <v>0.5111</v>
      </c>
      <c r="J78" s="552">
        <v>0.60320000000000007</v>
      </c>
      <c r="K78" s="552">
        <v>6.2100000000000002E-2</v>
      </c>
      <c r="L78" s="552">
        <v>0.05</v>
      </c>
      <c r="M78" s="552"/>
      <c r="N78" s="552">
        <v>0</v>
      </c>
      <c r="O78" s="552">
        <v>3.5000000000000003E-2</v>
      </c>
      <c r="P78" s="162">
        <f t="shared" si="42"/>
        <v>3.5000000000000003E-2</v>
      </c>
      <c r="Q78" s="707" t="s">
        <v>290</v>
      </c>
      <c r="R78" s="95"/>
      <c r="S78" s="95"/>
      <c r="T78" s="95"/>
    </row>
    <row r="79" spans="1:20" ht="9.75" customHeight="1" x14ac:dyDescent="0.2">
      <c r="A79" s="489" t="s">
        <v>92</v>
      </c>
      <c r="B79" s="559">
        <v>0</v>
      </c>
      <c r="C79" s="559">
        <v>0.1149</v>
      </c>
      <c r="D79" s="559">
        <v>0</v>
      </c>
      <c r="E79" s="559">
        <v>0</v>
      </c>
      <c r="F79" s="559">
        <v>0.44579999999999997</v>
      </c>
      <c r="G79" s="559">
        <v>0.84809999999999997</v>
      </c>
      <c r="H79" s="559">
        <v>1.7698</v>
      </c>
      <c r="I79" s="559">
        <v>4.1352000000000002</v>
      </c>
      <c r="J79" s="559">
        <v>5.2713999999999999</v>
      </c>
      <c r="K79" s="559">
        <v>7.3834</v>
      </c>
      <c r="L79" s="559">
        <v>12.34</v>
      </c>
      <c r="M79" s="559"/>
      <c r="N79" s="559">
        <v>0.38600000000000001</v>
      </c>
      <c r="O79" s="559">
        <v>0.32900000000000001</v>
      </c>
      <c r="P79" s="162">
        <f t="shared" si="42"/>
        <v>-5.6999999999999995E-2</v>
      </c>
      <c r="Q79" s="710">
        <f t="shared" si="43"/>
        <v>-14.766839378238341</v>
      </c>
      <c r="R79" s="95"/>
      <c r="S79" s="95"/>
      <c r="T79" s="95"/>
    </row>
    <row r="80" spans="1:20" ht="9.75" customHeight="1" x14ac:dyDescent="0.2">
      <c r="A80" s="489" t="s">
        <v>93</v>
      </c>
      <c r="B80" s="552">
        <v>1.8100000000000002E-2</v>
      </c>
      <c r="C80" s="552">
        <v>0</v>
      </c>
      <c r="D80" s="552">
        <v>0.02</v>
      </c>
      <c r="E80" s="552">
        <v>9.4000000000000004E-3</v>
      </c>
      <c r="F80" s="552">
        <v>0</v>
      </c>
      <c r="G80" s="552">
        <v>3.8999999999999998E-3</v>
      </c>
      <c r="H80" s="552">
        <v>0.30209999999999998</v>
      </c>
      <c r="I80" s="552">
        <v>1.2793000000000001</v>
      </c>
      <c r="J80" s="552">
        <v>5.2499999999999998E-2</v>
      </c>
      <c r="K80" s="552">
        <v>0.61099999999999999</v>
      </c>
      <c r="L80" s="552">
        <v>2.2599999999999998</v>
      </c>
      <c r="M80" s="552"/>
      <c r="N80" s="552">
        <v>0.315</v>
      </c>
      <c r="O80" s="552">
        <v>0.13800000000000001</v>
      </c>
      <c r="P80" s="162">
        <f t="shared" si="42"/>
        <v>-0.17699999999999999</v>
      </c>
      <c r="Q80" s="710">
        <f t="shared" si="43"/>
        <v>-56.19047619047619</v>
      </c>
      <c r="R80" s="95"/>
      <c r="S80" s="95"/>
      <c r="T80" s="95"/>
    </row>
    <row r="81" spans="1:20" ht="9.75" customHeight="1" x14ac:dyDescent="0.2">
      <c r="A81" s="489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493"/>
      <c r="Q81" s="710"/>
      <c r="R81" s="95"/>
      <c r="S81" s="95"/>
      <c r="T81" s="95"/>
    </row>
    <row r="82" spans="1:20" ht="9.75" customHeight="1" x14ac:dyDescent="0.2">
      <c r="A82" s="489" t="s">
        <v>100</v>
      </c>
      <c r="B82" s="552">
        <v>7.1888999999999994</v>
      </c>
      <c r="C82" s="552">
        <v>1.7863</v>
      </c>
      <c r="D82" s="552">
        <v>0.93270000000000008</v>
      </c>
      <c r="E82" s="552">
        <v>0.5737000000000001</v>
      </c>
      <c r="F82" s="552">
        <v>2.2659000000000002</v>
      </c>
      <c r="G82" s="552">
        <v>2.4212999999999996</v>
      </c>
      <c r="H82" s="552">
        <v>6.4500000000000002E-2</v>
      </c>
      <c r="I82" s="552">
        <v>0</v>
      </c>
      <c r="J82" s="552">
        <v>0.24130000000000001</v>
      </c>
      <c r="K82" s="552">
        <v>38.496099999999998</v>
      </c>
      <c r="L82" s="552">
        <v>0.25209999999999999</v>
      </c>
      <c r="M82" s="552"/>
      <c r="N82" s="552">
        <v>0</v>
      </c>
      <c r="O82" s="552">
        <v>0</v>
      </c>
      <c r="P82" s="162">
        <f t="shared" si="42"/>
        <v>0</v>
      </c>
      <c r="Q82" s="707" t="s">
        <v>290</v>
      </c>
      <c r="R82" s="95"/>
      <c r="S82" s="95"/>
      <c r="T82" s="95"/>
    </row>
    <row r="83" spans="1:20" ht="9.75" customHeight="1" x14ac:dyDescent="0.2">
      <c r="A83" s="489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493"/>
      <c r="Q83" s="710"/>
      <c r="R83" s="95"/>
      <c r="S83" s="95"/>
      <c r="T83" s="95"/>
    </row>
    <row r="84" spans="1:20" x14ac:dyDescent="0.2">
      <c r="A84" s="489" t="s">
        <v>90</v>
      </c>
      <c r="B84" s="552">
        <f t="shared" ref="B84:O84" si="44">B86-SUM(B63:B83)</f>
        <v>0.90189999999998349</v>
      </c>
      <c r="C84" s="552">
        <f t="shared" si="44"/>
        <v>1.3400999999999925</v>
      </c>
      <c r="D84" s="552">
        <f t="shared" si="44"/>
        <v>1.8790999999999798</v>
      </c>
      <c r="E84" s="552">
        <f t="shared" si="44"/>
        <v>3.2160999999999973</v>
      </c>
      <c r="F84" s="552">
        <f t="shared" si="44"/>
        <v>1.9741000000000213</v>
      </c>
      <c r="G84" s="552">
        <f t="shared" si="44"/>
        <v>1.8974999999999795</v>
      </c>
      <c r="H84" s="552">
        <f t="shared" si="44"/>
        <v>3.6238999999999919</v>
      </c>
      <c r="I84" s="552">
        <f t="shared" si="44"/>
        <v>4.4264999999999759</v>
      </c>
      <c r="J84" s="552">
        <f t="shared" si="44"/>
        <v>3.0036000000000342</v>
      </c>
      <c r="K84" s="552">
        <f t="shared" si="44"/>
        <v>3.20180000000002</v>
      </c>
      <c r="L84" s="552">
        <f t="shared" si="44"/>
        <v>8.0579000000000178</v>
      </c>
      <c r="M84" s="552"/>
      <c r="N84" s="552">
        <f t="shared" si="44"/>
        <v>0.63700000000000045</v>
      </c>
      <c r="O84" s="552">
        <f t="shared" si="44"/>
        <v>0.45300000000000118</v>
      </c>
      <c r="P84" s="162">
        <f t="shared" si="42"/>
        <v>-0.18399999999999928</v>
      </c>
      <c r="Q84" s="710">
        <f t="shared" si="43"/>
        <v>-28.885400313971608</v>
      </c>
      <c r="R84" s="95"/>
      <c r="S84" s="95"/>
      <c r="T84" s="95"/>
    </row>
    <row r="85" spans="1:20" ht="7.5" customHeight="1" x14ac:dyDescent="0.2">
      <c r="A85" s="489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493"/>
      <c r="Q85" s="710"/>
      <c r="R85" s="95"/>
      <c r="S85" s="95"/>
      <c r="T85" s="95"/>
    </row>
    <row r="86" spans="1:20" x14ac:dyDescent="0.2">
      <c r="A86" s="489" t="s">
        <v>339</v>
      </c>
      <c r="B86" s="552">
        <v>84.13069999999999</v>
      </c>
      <c r="C86" s="552">
        <v>91.621099999999984</v>
      </c>
      <c r="D86" s="552">
        <v>103.89629999999998</v>
      </c>
      <c r="E86" s="552">
        <v>102.14370000000001</v>
      </c>
      <c r="F86" s="552">
        <v>133.87989999999999</v>
      </c>
      <c r="G86" s="552">
        <v>176.71259999999998</v>
      </c>
      <c r="H86" s="552">
        <v>241.149</v>
      </c>
      <c r="I86" s="552">
        <v>213.55790000000002</v>
      </c>
      <c r="J86" s="552">
        <v>225.726</v>
      </c>
      <c r="K86" s="552">
        <v>255.41499999999999</v>
      </c>
      <c r="L86" s="552">
        <v>200.11</v>
      </c>
      <c r="M86" s="552"/>
      <c r="N86" s="552">
        <v>12.298</v>
      </c>
      <c r="O86" s="552">
        <v>9.5890000000000004</v>
      </c>
      <c r="P86" s="162">
        <f t="shared" si="42"/>
        <v>-2.7089999999999996</v>
      </c>
      <c r="Q86" s="710">
        <f t="shared" si="43"/>
        <v>-22.027972027972027</v>
      </c>
      <c r="R86" s="95"/>
      <c r="S86" s="95"/>
      <c r="T86" s="95"/>
    </row>
    <row r="87" spans="1:20" ht="8.25" customHeight="1" x14ac:dyDescent="0.25">
      <c r="A87" s="491"/>
      <c r="B87" s="555"/>
      <c r="C87" s="555"/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5"/>
      <c r="O87" s="555"/>
      <c r="P87" s="494"/>
      <c r="Q87" s="704"/>
      <c r="R87" s="95"/>
      <c r="S87" s="95"/>
      <c r="T87" s="95"/>
    </row>
    <row r="88" spans="1:20" ht="12.75" customHeight="1" x14ac:dyDescent="0.2">
      <c r="A88" s="74" t="s">
        <v>471</v>
      </c>
      <c r="B88" s="546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73"/>
      <c r="R88" s="95"/>
      <c r="S88" s="95"/>
      <c r="T88" s="95"/>
    </row>
    <row r="89" spans="1:20" ht="10.5" customHeight="1" x14ac:dyDescent="0.2">
      <c r="A89" s="76" t="s">
        <v>311</v>
      </c>
      <c r="B89" s="547"/>
      <c r="C89" s="548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7"/>
    </row>
    <row r="90" spans="1:20" ht="10.5" customHeight="1" x14ac:dyDescent="0.2">
      <c r="A90" s="77" t="s">
        <v>282</v>
      </c>
      <c r="B90" s="549"/>
      <c r="C90" s="548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</row>
    <row r="91" spans="1:20" ht="10.5" customHeight="1" x14ac:dyDescent="0.2">
      <c r="A91" s="6" t="s">
        <v>477</v>
      </c>
      <c r="B91" s="550"/>
      <c r="C91" s="551"/>
      <c r="D91" s="550"/>
      <c r="E91" s="550"/>
      <c r="F91" s="550"/>
      <c r="G91" s="550"/>
      <c r="H91" s="545"/>
      <c r="I91" s="550"/>
      <c r="J91" s="550"/>
      <c r="K91" s="550"/>
      <c r="L91" s="550"/>
      <c r="M91" s="550"/>
      <c r="N91" s="550"/>
      <c r="O91" s="550"/>
    </row>
    <row r="92" spans="1:20" ht="11.25" customHeight="1" x14ac:dyDescent="0.2">
      <c r="I92" s="78"/>
    </row>
    <row r="93" spans="1:20" ht="11.1" customHeight="1" x14ac:dyDescent="0.2"/>
    <row r="94" spans="1:20" ht="11.1" customHeight="1" x14ac:dyDescent="0.2">
      <c r="A94" s="79"/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1" transitionEvaluation="1" transitionEntry="1" codeName="Sheet8">
    <pageSetUpPr fitToPage="1"/>
  </sheetPr>
  <dimension ref="A1:CT143"/>
  <sheetViews>
    <sheetView zoomScale="130" zoomScaleNormal="130" workbookViewId="0">
      <pane xSplit="2" ySplit="5" topLeftCell="L61" activePane="bottomRight" state="frozen"/>
      <selection pane="topRight" activeCell="C1" sqref="C1"/>
      <selection pane="bottomLeft" activeCell="A6" sqref="A6"/>
      <selection pane="bottomRight" activeCell="N71" sqref="N71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2" customWidth="1"/>
    <col min="14" max="14" width="14.44140625" style="541" customWidth="1"/>
    <col min="15" max="15" width="16.21875" style="142" customWidth="1"/>
    <col min="16" max="16" width="15.77734375" style="554" customWidth="1"/>
    <col min="17" max="17" width="1" style="554" customWidth="1"/>
    <col min="18" max="18" width="15.77734375" style="554" customWidth="1"/>
    <col min="19" max="19" width="14.33203125" style="142" customWidth="1"/>
    <col min="21" max="21" width="14.33203125" style="142" customWidth="1"/>
    <col min="22" max="27" width="9.6640625" style="67"/>
    <col min="28" max="28" width="12.6640625" style="67" customWidth="1"/>
    <col min="29" max="261" width="9.6640625" style="67"/>
    <col min="262" max="262" width="32.88671875" style="67" customWidth="1"/>
    <col min="263" max="263" width="6.88671875" style="67" customWidth="1"/>
    <col min="264" max="264" width="11.109375" style="67" customWidth="1"/>
    <col min="265" max="265" width="12.33203125" style="67" customWidth="1"/>
    <col min="266" max="266" width="13.109375" style="67" customWidth="1"/>
    <col min="267" max="267" width="12.109375" style="67" customWidth="1"/>
    <col min="268" max="268" width="11.33203125" style="67" customWidth="1"/>
    <col min="269" max="272" width="12.88671875" style="67" customWidth="1"/>
    <col min="273" max="273" width="13.109375" style="67" customWidth="1"/>
    <col min="274" max="274" width="12.88671875" style="67" customWidth="1"/>
    <col min="275" max="275" width="13.109375" style="67" customWidth="1"/>
    <col min="276" max="283" width="9.6640625" style="67"/>
    <col min="284" max="284" width="12.6640625" style="67" customWidth="1"/>
    <col min="285" max="517" width="9.6640625" style="67"/>
    <col min="518" max="518" width="32.88671875" style="67" customWidth="1"/>
    <col min="519" max="519" width="6.88671875" style="67" customWidth="1"/>
    <col min="520" max="520" width="11.109375" style="67" customWidth="1"/>
    <col min="521" max="521" width="12.33203125" style="67" customWidth="1"/>
    <col min="522" max="522" width="13.109375" style="67" customWidth="1"/>
    <col min="523" max="523" width="12.109375" style="67" customWidth="1"/>
    <col min="524" max="524" width="11.33203125" style="67" customWidth="1"/>
    <col min="525" max="528" width="12.88671875" style="67" customWidth="1"/>
    <col min="529" max="529" width="13.109375" style="67" customWidth="1"/>
    <col min="530" max="530" width="12.88671875" style="67" customWidth="1"/>
    <col min="531" max="531" width="13.109375" style="67" customWidth="1"/>
    <col min="532" max="539" width="9.6640625" style="67"/>
    <col min="540" max="540" width="12.6640625" style="67" customWidth="1"/>
    <col min="541" max="773" width="9.6640625" style="67"/>
    <col min="774" max="774" width="32.88671875" style="67" customWidth="1"/>
    <col min="775" max="775" width="6.88671875" style="67" customWidth="1"/>
    <col min="776" max="776" width="11.109375" style="67" customWidth="1"/>
    <col min="777" max="777" width="12.33203125" style="67" customWidth="1"/>
    <col min="778" max="778" width="13.109375" style="67" customWidth="1"/>
    <col min="779" max="779" width="12.109375" style="67" customWidth="1"/>
    <col min="780" max="780" width="11.33203125" style="67" customWidth="1"/>
    <col min="781" max="784" width="12.88671875" style="67" customWidth="1"/>
    <col min="785" max="785" width="13.109375" style="67" customWidth="1"/>
    <col min="786" max="786" width="12.88671875" style="67" customWidth="1"/>
    <col min="787" max="787" width="13.109375" style="67" customWidth="1"/>
    <col min="788" max="795" width="9.6640625" style="67"/>
    <col min="796" max="796" width="12.6640625" style="67" customWidth="1"/>
    <col min="797" max="1029" width="9.6640625" style="67"/>
    <col min="1030" max="1030" width="32.88671875" style="67" customWidth="1"/>
    <col min="1031" max="1031" width="6.88671875" style="67" customWidth="1"/>
    <col min="1032" max="1032" width="11.109375" style="67" customWidth="1"/>
    <col min="1033" max="1033" width="12.33203125" style="67" customWidth="1"/>
    <col min="1034" max="1034" width="13.109375" style="67" customWidth="1"/>
    <col min="1035" max="1035" width="12.109375" style="67" customWidth="1"/>
    <col min="1036" max="1036" width="11.33203125" style="67" customWidth="1"/>
    <col min="1037" max="1040" width="12.88671875" style="67" customWidth="1"/>
    <col min="1041" max="1041" width="13.109375" style="67" customWidth="1"/>
    <col min="1042" max="1042" width="12.88671875" style="67" customWidth="1"/>
    <col min="1043" max="1043" width="13.109375" style="67" customWidth="1"/>
    <col min="1044" max="1051" width="9.6640625" style="67"/>
    <col min="1052" max="1052" width="12.6640625" style="67" customWidth="1"/>
    <col min="1053" max="1285" width="9.6640625" style="67"/>
    <col min="1286" max="1286" width="32.88671875" style="67" customWidth="1"/>
    <col min="1287" max="1287" width="6.88671875" style="67" customWidth="1"/>
    <col min="1288" max="1288" width="11.109375" style="67" customWidth="1"/>
    <col min="1289" max="1289" width="12.33203125" style="67" customWidth="1"/>
    <col min="1290" max="1290" width="13.109375" style="67" customWidth="1"/>
    <col min="1291" max="1291" width="12.109375" style="67" customWidth="1"/>
    <col min="1292" max="1292" width="11.33203125" style="67" customWidth="1"/>
    <col min="1293" max="1296" width="12.88671875" style="67" customWidth="1"/>
    <col min="1297" max="1297" width="13.109375" style="67" customWidth="1"/>
    <col min="1298" max="1298" width="12.88671875" style="67" customWidth="1"/>
    <col min="1299" max="1299" width="13.109375" style="67" customWidth="1"/>
    <col min="1300" max="1307" width="9.6640625" style="67"/>
    <col min="1308" max="1308" width="12.6640625" style="67" customWidth="1"/>
    <col min="1309" max="1541" width="9.6640625" style="67"/>
    <col min="1542" max="1542" width="32.88671875" style="67" customWidth="1"/>
    <col min="1543" max="1543" width="6.88671875" style="67" customWidth="1"/>
    <col min="1544" max="1544" width="11.109375" style="67" customWidth="1"/>
    <col min="1545" max="1545" width="12.33203125" style="67" customWidth="1"/>
    <col min="1546" max="1546" width="13.109375" style="67" customWidth="1"/>
    <col min="1547" max="1547" width="12.109375" style="67" customWidth="1"/>
    <col min="1548" max="1548" width="11.33203125" style="67" customWidth="1"/>
    <col min="1549" max="1552" width="12.88671875" style="67" customWidth="1"/>
    <col min="1553" max="1553" width="13.109375" style="67" customWidth="1"/>
    <col min="1554" max="1554" width="12.88671875" style="67" customWidth="1"/>
    <col min="1555" max="1555" width="13.109375" style="67" customWidth="1"/>
    <col min="1556" max="1563" width="9.6640625" style="67"/>
    <col min="1564" max="1564" width="12.6640625" style="67" customWidth="1"/>
    <col min="1565" max="1797" width="9.6640625" style="67"/>
    <col min="1798" max="1798" width="32.88671875" style="67" customWidth="1"/>
    <col min="1799" max="1799" width="6.88671875" style="67" customWidth="1"/>
    <col min="1800" max="1800" width="11.109375" style="67" customWidth="1"/>
    <col min="1801" max="1801" width="12.33203125" style="67" customWidth="1"/>
    <col min="1802" max="1802" width="13.109375" style="67" customWidth="1"/>
    <col min="1803" max="1803" width="12.109375" style="67" customWidth="1"/>
    <col min="1804" max="1804" width="11.33203125" style="67" customWidth="1"/>
    <col min="1805" max="1808" width="12.88671875" style="67" customWidth="1"/>
    <col min="1809" max="1809" width="13.109375" style="67" customWidth="1"/>
    <col min="1810" max="1810" width="12.88671875" style="67" customWidth="1"/>
    <col min="1811" max="1811" width="13.109375" style="67" customWidth="1"/>
    <col min="1812" max="1819" width="9.6640625" style="67"/>
    <col min="1820" max="1820" width="12.6640625" style="67" customWidth="1"/>
    <col min="1821" max="2053" width="9.6640625" style="67"/>
    <col min="2054" max="2054" width="32.88671875" style="67" customWidth="1"/>
    <col min="2055" max="2055" width="6.88671875" style="67" customWidth="1"/>
    <col min="2056" max="2056" width="11.109375" style="67" customWidth="1"/>
    <col min="2057" max="2057" width="12.33203125" style="67" customWidth="1"/>
    <col min="2058" max="2058" width="13.109375" style="67" customWidth="1"/>
    <col min="2059" max="2059" width="12.109375" style="67" customWidth="1"/>
    <col min="2060" max="2060" width="11.33203125" style="67" customWidth="1"/>
    <col min="2061" max="2064" width="12.88671875" style="67" customWidth="1"/>
    <col min="2065" max="2065" width="13.109375" style="67" customWidth="1"/>
    <col min="2066" max="2066" width="12.88671875" style="67" customWidth="1"/>
    <col min="2067" max="2067" width="13.109375" style="67" customWidth="1"/>
    <col min="2068" max="2075" width="9.6640625" style="67"/>
    <col min="2076" max="2076" width="12.6640625" style="67" customWidth="1"/>
    <col min="2077" max="2309" width="9.6640625" style="67"/>
    <col min="2310" max="2310" width="32.88671875" style="67" customWidth="1"/>
    <col min="2311" max="2311" width="6.88671875" style="67" customWidth="1"/>
    <col min="2312" max="2312" width="11.109375" style="67" customWidth="1"/>
    <col min="2313" max="2313" width="12.33203125" style="67" customWidth="1"/>
    <col min="2314" max="2314" width="13.109375" style="67" customWidth="1"/>
    <col min="2315" max="2315" width="12.109375" style="67" customWidth="1"/>
    <col min="2316" max="2316" width="11.33203125" style="67" customWidth="1"/>
    <col min="2317" max="2320" width="12.88671875" style="67" customWidth="1"/>
    <col min="2321" max="2321" width="13.109375" style="67" customWidth="1"/>
    <col min="2322" max="2322" width="12.88671875" style="67" customWidth="1"/>
    <col min="2323" max="2323" width="13.109375" style="67" customWidth="1"/>
    <col min="2324" max="2331" width="9.6640625" style="67"/>
    <col min="2332" max="2332" width="12.6640625" style="67" customWidth="1"/>
    <col min="2333" max="2565" width="9.6640625" style="67"/>
    <col min="2566" max="2566" width="32.88671875" style="67" customWidth="1"/>
    <col min="2567" max="2567" width="6.88671875" style="67" customWidth="1"/>
    <col min="2568" max="2568" width="11.109375" style="67" customWidth="1"/>
    <col min="2569" max="2569" width="12.33203125" style="67" customWidth="1"/>
    <col min="2570" max="2570" width="13.109375" style="67" customWidth="1"/>
    <col min="2571" max="2571" width="12.109375" style="67" customWidth="1"/>
    <col min="2572" max="2572" width="11.33203125" style="67" customWidth="1"/>
    <col min="2573" max="2576" width="12.88671875" style="67" customWidth="1"/>
    <col min="2577" max="2577" width="13.109375" style="67" customWidth="1"/>
    <col min="2578" max="2578" width="12.88671875" style="67" customWidth="1"/>
    <col min="2579" max="2579" width="13.109375" style="67" customWidth="1"/>
    <col min="2580" max="2587" width="9.6640625" style="67"/>
    <col min="2588" max="2588" width="12.6640625" style="67" customWidth="1"/>
    <col min="2589" max="2821" width="9.6640625" style="67"/>
    <col min="2822" max="2822" width="32.88671875" style="67" customWidth="1"/>
    <col min="2823" max="2823" width="6.88671875" style="67" customWidth="1"/>
    <col min="2824" max="2824" width="11.109375" style="67" customWidth="1"/>
    <col min="2825" max="2825" width="12.33203125" style="67" customWidth="1"/>
    <col min="2826" max="2826" width="13.109375" style="67" customWidth="1"/>
    <col min="2827" max="2827" width="12.109375" style="67" customWidth="1"/>
    <col min="2828" max="2828" width="11.33203125" style="67" customWidth="1"/>
    <col min="2829" max="2832" width="12.88671875" style="67" customWidth="1"/>
    <col min="2833" max="2833" width="13.109375" style="67" customWidth="1"/>
    <col min="2834" max="2834" width="12.88671875" style="67" customWidth="1"/>
    <col min="2835" max="2835" width="13.109375" style="67" customWidth="1"/>
    <col min="2836" max="2843" width="9.6640625" style="67"/>
    <col min="2844" max="2844" width="12.6640625" style="67" customWidth="1"/>
    <col min="2845" max="3077" width="9.6640625" style="67"/>
    <col min="3078" max="3078" width="32.88671875" style="67" customWidth="1"/>
    <col min="3079" max="3079" width="6.88671875" style="67" customWidth="1"/>
    <col min="3080" max="3080" width="11.109375" style="67" customWidth="1"/>
    <col min="3081" max="3081" width="12.33203125" style="67" customWidth="1"/>
    <col min="3082" max="3082" width="13.109375" style="67" customWidth="1"/>
    <col min="3083" max="3083" width="12.109375" style="67" customWidth="1"/>
    <col min="3084" max="3084" width="11.33203125" style="67" customWidth="1"/>
    <col min="3085" max="3088" width="12.88671875" style="67" customWidth="1"/>
    <col min="3089" max="3089" width="13.109375" style="67" customWidth="1"/>
    <col min="3090" max="3090" width="12.88671875" style="67" customWidth="1"/>
    <col min="3091" max="3091" width="13.109375" style="67" customWidth="1"/>
    <col min="3092" max="3099" width="9.6640625" style="67"/>
    <col min="3100" max="3100" width="12.6640625" style="67" customWidth="1"/>
    <col min="3101" max="3333" width="9.6640625" style="67"/>
    <col min="3334" max="3334" width="32.88671875" style="67" customWidth="1"/>
    <col min="3335" max="3335" width="6.88671875" style="67" customWidth="1"/>
    <col min="3336" max="3336" width="11.109375" style="67" customWidth="1"/>
    <col min="3337" max="3337" width="12.33203125" style="67" customWidth="1"/>
    <col min="3338" max="3338" width="13.109375" style="67" customWidth="1"/>
    <col min="3339" max="3339" width="12.109375" style="67" customWidth="1"/>
    <col min="3340" max="3340" width="11.33203125" style="67" customWidth="1"/>
    <col min="3341" max="3344" width="12.88671875" style="67" customWidth="1"/>
    <col min="3345" max="3345" width="13.109375" style="67" customWidth="1"/>
    <col min="3346" max="3346" width="12.88671875" style="67" customWidth="1"/>
    <col min="3347" max="3347" width="13.109375" style="67" customWidth="1"/>
    <col min="3348" max="3355" width="9.6640625" style="67"/>
    <col min="3356" max="3356" width="12.6640625" style="67" customWidth="1"/>
    <col min="3357" max="3589" width="9.6640625" style="67"/>
    <col min="3590" max="3590" width="32.88671875" style="67" customWidth="1"/>
    <col min="3591" max="3591" width="6.88671875" style="67" customWidth="1"/>
    <col min="3592" max="3592" width="11.109375" style="67" customWidth="1"/>
    <col min="3593" max="3593" width="12.33203125" style="67" customWidth="1"/>
    <col min="3594" max="3594" width="13.109375" style="67" customWidth="1"/>
    <col min="3595" max="3595" width="12.109375" style="67" customWidth="1"/>
    <col min="3596" max="3596" width="11.33203125" style="67" customWidth="1"/>
    <col min="3597" max="3600" width="12.88671875" style="67" customWidth="1"/>
    <col min="3601" max="3601" width="13.109375" style="67" customWidth="1"/>
    <col min="3602" max="3602" width="12.88671875" style="67" customWidth="1"/>
    <col min="3603" max="3603" width="13.109375" style="67" customWidth="1"/>
    <col min="3604" max="3611" width="9.6640625" style="67"/>
    <col min="3612" max="3612" width="12.6640625" style="67" customWidth="1"/>
    <col min="3613" max="3845" width="9.6640625" style="67"/>
    <col min="3846" max="3846" width="32.88671875" style="67" customWidth="1"/>
    <col min="3847" max="3847" width="6.88671875" style="67" customWidth="1"/>
    <col min="3848" max="3848" width="11.109375" style="67" customWidth="1"/>
    <col min="3849" max="3849" width="12.33203125" style="67" customWidth="1"/>
    <col min="3850" max="3850" width="13.109375" style="67" customWidth="1"/>
    <col min="3851" max="3851" width="12.109375" style="67" customWidth="1"/>
    <col min="3852" max="3852" width="11.33203125" style="67" customWidth="1"/>
    <col min="3853" max="3856" width="12.88671875" style="67" customWidth="1"/>
    <col min="3857" max="3857" width="13.109375" style="67" customWidth="1"/>
    <col min="3858" max="3858" width="12.88671875" style="67" customWidth="1"/>
    <col min="3859" max="3859" width="13.109375" style="67" customWidth="1"/>
    <col min="3860" max="3867" width="9.6640625" style="67"/>
    <col min="3868" max="3868" width="12.6640625" style="67" customWidth="1"/>
    <col min="3869" max="4101" width="9.6640625" style="67"/>
    <col min="4102" max="4102" width="32.88671875" style="67" customWidth="1"/>
    <col min="4103" max="4103" width="6.88671875" style="67" customWidth="1"/>
    <col min="4104" max="4104" width="11.109375" style="67" customWidth="1"/>
    <col min="4105" max="4105" width="12.33203125" style="67" customWidth="1"/>
    <col min="4106" max="4106" width="13.109375" style="67" customWidth="1"/>
    <col min="4107" max="4107" width="12.109375" style="67" customWidth="1"/>
    <col min="4108" max="4108" width="11.33203125" style="67" customWidth="1"/>
    <col min="4109" max="4112" width="12.88671875" style="67" customWidth="1"/>
    <col min="4113" max="4113" width="13.109375" style="67" customWidth="1"/>
    <col min="4114" max="4114" width="12.88671875" style="67" customWidth="1"/>
    <col min="4115" max="4115" width="13.109375" style="67" customWidth="1"/>
    <col min="4116" max="4123" width="9.6640625" style="67"/>
    <col min="4124" max="4124" width="12.6640625" style="67" customWidth="1"/>
    <col min="4125" max="4357" width="9.6640625" style="67"/>
    <col min="4358" max="4358" width="32.88671875" style="67" customWidth="1"/>
    <col min="4359" max="4359" width="6.88671875" style="67" customWidth="1"/>
    <col min="4360" max="4360" width="11.109375" style="67" customWidth="1"/>
    <col min="4361" max="4361" width="12.33203125" style="67" customWidth="1"/>
    <col min="4362" max="4362" width="13.109375" style="67" customWidth="1"/>
    <col min="4363" max="4363" width="12.109375" style="67" customWidth="1"/>
    <col min="4364" max="4364" width="11.33203125" style="67" customWidth="1"/>
    <col min="4365" max="4368" width="12.88671875" style="67" customWidth="1"/>
    <col min="4369" max="4369" width="13.109375" style="67" customWidth="1"/>
    <col min="4370" max="4370" width="12.88671875" style="67" customWidth="1"/>
    <col min="4371" max="4371" width="13.109375" style="67" customWidth="1"/>
    <col min="4372" max="4379" width="9.6640625" style="67"/>
    <col min="4380" max="4380" width="12.6640625" style="67" customWidth="1"/>
    <col min="4381" max="4613" width="9.6640625" style="67"/>
    <col min="4614" max="4614" width="32.88671875" style="67" customWidth="1"/>
    <col min="4615" max="4615" width="6.88671875" style="67" customWidth="1"/>
    <col min="4616" max="4616" width="11.109375" style="67" customWidth="1"/>
    <col min="4617" max="4617" width="12.33203125" style="67" customWidth="1"/>
    <col min="4618" max="4618" width="13.109375" style="67" customWidth="1"/>
    <col min="4619" max="4619" width="12.109375" style="67" customWidth="1"/>
    <col min="4620" max="4620" width="11.33203125" style="67" customWidth="1"/>
    <col min="4621" max="4624" width="12.88671875" style="67" customWidth="1"/>
    <col min="4625" max="4625" width="13.109375" style="67" customWidth="1"/>
    <col min="4626" max="4626" width="12.88671875" style="67" customWidth="1"/>
    <col min="4627" max="4627" width="13.109375" style="67" customWidth="1"/>
    <col min="4628" max="4635" width="9.6640625" style="67"/>
    <col min="4636" max="4636" width="12.6640625" style="67" customWidth="1"/>
    <col min="4637" max="4869" width="9.6640625" style="67"/>
    <col min="4870" max="4870" width="32.88671875" style="67" customWidth="1"/>
    <col min="4871" max="4871" width="6.88671875" style="67" customWidth="1"/>
    <col min="4872" max="4872" width="11.109375" style="67" customWidth="1"/>
    <col min="4873" max="4873" width="12.33203125" style="67" customWidth="1"/>
    <col min="4874" max="4874" width="13.109375" style="67" customWidth="1"/>
    <col min="4875" max="4875" width="12.109375" style="67" customWidth="1"/>
    <col min="4876" max="4876" width="11.33203125" style="67" customWidth="1"/>
    <col min="4877" max="4880" width="12.88671875" style="67" customWidth="1"/>
    <col min="4881" max="4881" width="13.109375" style="67" customWidth="1"/>
    <col min="4882" max="4882" width="12.88671875" style="67" customWidth="1"/>
    <col min="4883" max="4883" width="13.109375" style="67" customWidth="1"/>
    <col min="4884" max="4891" width="9.6640625" style="67"/>
    <col min="4892" max="4892" width="12.6640625" style="67" customWidth="1"/>
    <col min="4893" max="5125" width="9.6640625" style="67"/>
    <col min="5126" max="5126" width="32.88671875" style="67" customWidth="1"/>
    <col min="5127" max="5127" width="6.88671875" style="67" customWidth="1"/>
    <col min="5128" max="5128" width="11.109375" style="67" customWidth="1"/>
    <col min="5129" max="5129" width="12.33203125" style="67" customWidth="1"/>
    <col min="5130" max="5130" width="13.109375" style="67" customWidth="1"/>
    <col min="5131" max="5131" width="12.109375" style="67" customWidth="1"/>
    <col min="5132" max="5132" width="11.33203125" style="67" customWidth="1"/>
    <col min="5133" max="5136" width="12.88671875" style="67" customWidth="1"/>
    <col min="5137" max="5137" width="13.109375" style="67" customWidth="1"/>
    <col min="5138" max="5138" width="12.88671875" style="67" customWidth="1"/>
    <col min="5139" max="5139" width="13.109375" style="67" customWidth="1"/>
    <col min="5140" max="5147" width="9.6640625" style="67"/>
    <col min="5148" max="5148" width="12.6640625" style="67" customWidth="1"/>
    <col min="5149" max="5381" width="9.6640625" style="67"/>
    <col min="5382" max="5382" width="32.88671875" style="67" customWidth="1"/>
    <col min="5383" max="5383" width="6.88671875" style="67" customWidth="1"/>
    <col min="5384" max="5384" width="11.109375" style="67" customWidth="1"/>
    <col min="5385" max="5385" width="12.33203125" style="67" customWidth="1"/>
    <col min="5386" max="5386" width="13.109375" style="67" customWidth="1"/>
    <col min="5387" max="5387" width="12.109375" style="67" customWidth="1"/>
    <col min="5388" max="5388" width="11.33203125" style="67" customWidth="1"/>
    <col min="5389" max="5392" width="12.88671875" style="67" customWidth="1"/>
    <col min="5393" max="5393" width="13.109375" style="67" customWidth="1"/>
    <col min="5394" max="5394" width="12.88671875" style="67" customWidth="1"/>
    <col min="5395" max="5395" width="13.109375" style="67" customWidth="1"/>
    <col min="5396" max="5403" width="9.6640625" style="67"/>
    <col min="5404" max="5404" width="12.6640625" style="67" customWidth="1"/>
    <col min="5405" max="5637" width="9.6640625" style="67"/>
    <col min="5638" max="5638" width="32.88671875" style="67" customWidth="1"/>
    <col min="5639" max="5639" width="6.88671875" style="67" customWidth="1"/>
    <col min="5640" max="5640" width="11.109375" style="67" customWidth="1"/>
    <col min="5641" max="5641" width="12.33203125" style="67" customWidth="1"/>
    <col min="5642" max="5642" width="13.109375" style="67" customWidth="1"/>
    <col min="5643" max="5643" width="12.109375" style="67" customWidth="1"/>
    <col min="5644" max="5644" width="11.33203125" style="67" customWidth="1"/>
    <col min="5645" max="5648" width="12.88671875" style="67" customWidth="1"/>
    <col min="5649" max="5649" width="13.109375" style="67" customWidth="1"/>
    <col min="5650" max="5650" width="12.88671875" style="67" customWidth="1"/>
    <col min="5651" max="5651" width="13.109375" style="67" customWidth="1"/>
    <col min="5652" max="5659" width="9.6640625" style="67"/>
    <col min="5660" max="5660" width="12.6640625" style="67" customWidth="1"/>
    <col min="5661" max="5893" width="9.6640625" style="67"/>
    <col min="5894" max="5894" width="32.88671875" style="67" customWidth="1"/>
    <col min="5895" max="5895" width="6.88671875" style="67" customWidth="1"/>
    <col min="5896" max="5896" width="11.109375" style="67" customWidth="1"/>
    <col min="5897" max="5897" width="12.33203125" style="67" customWidth="1"/>
    <col min="5898" max="5898" width="13.109375" style="67" customWidth="1"/>
    <col min="5899" max="5899" width="12.109375" style="67" customWidth="1"/>
    <col min="5900" max="5900" width="11.33203125" style="67" customWidth="1"/>
    <col min="5901" max="5904" width="12.88671875" style="67" customWidth="1"/>
    <col min="5905" max="5905" width="13.109375" style="67" customWidth="1"/>
    <col min="5906" max="5906" width="12.88671875" style="67" customWidth="1"/>
    <col min="5907" max="5907" width="13.109375" style="67" customWidth="1"/>
    <col min="5908" max="5915" width="9.6640625" style="67"/>
    <col min="5916" max="5916" width="12.6640625" style="67" customWidth="1"/>
    <col min="5917" max="6149" width="9.6640625" style="67"/>
    <col min="6150" max="6150" width="32.88671875" style="67" customWidth="1"/>
    <col min="6151" max="6151" width="6.88671875" style="67" customWidth="1"/>
    <col min="6152" max="6152" width="11.109375" style="67" customWidth="1"/>
    <col min="6153" max="6153" width="12.33203125" style="67" customWidth="1"/>
    <col min="6154" max="6154" width="13.109375" style="67" customWidth="1"/>
    <col min="6155" max="6155" width="12.109375" style="67" customWidth="1"/>
    <col min="6156" max="6156" width="11.33203125" style="67" customWidth="1"/>
    <col min="6157" max="6160" width="12.88671875" style="67" customWidth="1"/>
    <col min="6161" max="6161" width="13.109375" style="67" customWidth="1"/>
    <col min="6162" max="6162" width="12.88671875" style="67" customWidth="1"/>
    <col min="6163" max="6163" width="13.109375" style="67" customWidth="1"/>
    <col min="6164" max="6171" width="9.6640625" style="67"/>
    <col min="6172" max="6172" width="12.6640625" style="67" customWidth="1"/>
    <col min="6173" max="6405" width="9.6640625" style="67"/>
    <col min="6406" max="6406" width="32.88671875" style="67" customWidth="1"/>
    <col min="6407" max="6407" width="6.88671875" style="67" customWidth="1"/>
    <col min="6408" max="6408" width="11.109375" style="67" customWidth="1"/>
    <col min="6409" max="6409" width="12.33203125" style="67" customWidth="1"/>
    <col min="6410" max="6410" width="13.109375" style="67" customWidth="1"/>
    <col min="6411" max="6411" width="12.109375" style="67" customWidth="1"/>
    <col min="6412" max="6412" width="11.33203125" style="67" customWidth="1"/>
    <col min="6413" max="6416" width="12.88671875" style="67" customWidth="1"/>
    <col min="6417" max="6417" width="13.109375" style="67" customWidth="1"/>
    <col min="6418" max="6418" width="12.88671875" style="67" customWidth="1"/>
    <col min="6419" max="6419" width="13.109375" style="67" customWidth="1"/>
    <col min="6420" max="6427" width="9.6640625" style="67"/>
    <col min="6428" max="6428" width="12.6640625" style="67" customWidth="1"/>
    <col min="6429" max="6661" width="9.6640625" style="67"/>
    <col min="6662" max="6662" width="32.88671875" style="67" customWidth="1"/>
    <col min="6663" max="6663" width="6.88671875" style="67" customWidth="1"/>
    <col min="6664" max="6664" width="11.109375" style="67" customWidth="1"/>
    <col min="6665" max="6665" width="12.33203125" style="67" customWidth="1"/>
    <col min="6666" max="6666" width="13.109375" style="67" customWidth="1"/>
    <col min="6667" max="6667" width="12.109375" style="67" customWidth="1"/>
    <col min="6668" max="6668" width="11.33203125" style="67" customWidth="1"/>
    <col min="6669" max="6672" width="12.88671875" style="67" customWidth="1"/>
    <col min="6673" max="6673" width="13.109375" style="67" customWidth="1"/>
    <col min="6674" max="6674" width="12.88671875" style="67" customWidth="1"/>
    <col min="6675" max="6675" width="13.109375" style="67" customWidth="1"/>
    <col min="6676" max="6683" width="9.6640625" style="67"/>
    <col min="6684" max="6684" width="12.6640625" style="67" customWidth="1"/>
    <col min="6685" max="6917" width="9.6640625" style="67"/>
    <col min="6918" max="6918" width="32.88671875" style="67" customWidth="1"/>
    <col min="6919" max="6919" width="6.88671875" style="67" customWidth="1"/>
    <col min="6920" max="6920" width="11.109375" style="67" customWidth="1"/>
    <col min="6921" max="6921" width="12.33203125" style="67" customWidth="1"/>
    <col min="6922" max="6922" width="13.109375" style="67" customWidth="1"/>
    <col min="6923" max="6923" width="12.109375" style="67" customWidth="1"/>
    <col min="6924" max="6924" width="11.33203125" style="67" customWidth="1"/>
    <col min="6925" max="6928" width="12.88671875" style="67" customWidth="1"/>
    <col min="6929" max="6929" width="13.109375" style="67" customWidth="1"/>
    <col min="6930" max="6930" width="12.88671875" style="67" customWidth="1"/>
    <col min="6931" max="6931" width="13.109375" style="67" customWidth="1"/>
    <col min="6932" max="6939" width="9.6640625" style="67"/>
    <col min="6940" max="6940" width="12.6640625" style="67" customWidth="1"/>
    <col min="6941" max="7173" width="9.6640625" style="67"/>
    <col min="7174" max="7174" width="32.88671875" style="67" customWidth="1"/>
    <col min="7175" max="7175" width="6.88671875" style="67" customWidth="1"/>
    <col min="7176" max="7176" width="11.109375" style="67" customWidth="1"/>
    <col min="7177" max="7177" width="12.33203125" style="67" customWidth="1"/>
    <col min="7178" max="7178" width="13.109375" style="67" customWidth="1"/>
    <col min="7179" max="7179" width="12.109375" style="67" customWidth="1"/>
    <col min="7180" max="7180" width="11.33203125" style="67" customWidth="1"/>
    <col min="7181" max="7184" width="12.88671875" style="67" customWidth="1"/>
    <col min="7185" max="7185" width="13.109375" style="67" customWidth="1"/>
    <col min="7186" max="7186" width="12.88671875" style="67" customWidth="1"/>
    <col min="7187" max="7187" width="13.109375" style="67" customWidth="1"/>
    <col min="7188" max="7195" width="9.6640625" style="67"/>
    <col min="7196" max="7196" width="12.6640625" style="67" customWidth="1"/>
    <col min="7197" max="7429" width="9.6640625" style="67"/>
    <col min="7430" max="7430" width="32.88671875" style="67" customWidth="1"/>
    <col min="7431" max="7431" width="6.88671875" style="67" customWidth="1"/>
    <col min="7432" max="7432" width="11.109375" style="67" customWidth="1"/>
    <col min="7433" max="7433" width="12.33203125" style="67" customWidth="1"/>
    <col min="7434" max="7434" width="13.109375" style="67" customWidth="1"/>
    <col min="7435" max="7435" width="12.109375" style="67" customWidth="1"/>
    <col min="7436" max="7436" width="11.33203125" style="67" customWidth="1"/>
    <col min="7437" max="7440" width="12.88671875" style="67" customWidth="1"/>
    <col min="7441" max="7441" width="13.109375" style="67" customWidth="1"/>
    <col min="7442" max="7442" width="12.88671875" style="67" customWidth="1"/>
    <col min="7443" max="7443" width="13.109375" style="67" customWidth="1"/>
    <col min="7444" max="7451" width="9.6640625" style="67"/>
    <col min="7452" max="7452" width="12.6640625" style="67" customWidth="1"/>
    <col min="7453" max="7685" width="9.6640625" style="67"/>
    <col min="7686" max="7686" width="32.88671875" style="67" customWidth="1"/>
    <col min="7687" max="7687" width="6.88671875" style="67" customWidth="1"/>
    <col min="7688" max="7688" width="11.109375" style="67" customWidth="1"/>
    <col min="7689" max="7689" width="12.33203125" style="67" customWidth="1"/>
    <col min="7690" max="7690" width="13.109375" style="67" customWidth="1"/>
    <col min="7691" max="7691" width="12.109375" style="67" customWidth="1"/>
    <col min="7692" max="7692" width="11.33203125" style="67" customWidth="1"/>
    <col min="7693" max="7696" width="12.88671875" style="67" customWidth="1"/>
    <col min="7697" max="7697" width="13.109375" style="67" customWidth="1"/>
    <col min="7698" max="7698" width="12.88671875" style="67" customWidth="1"/>
    <col min="7699" max="7699" width="13.109375" style="67" customWidth="1"/>
    <col min="7700" max="7707" width="9.6640625" style="67"/>
    <col min="7708" max="7708" width="12.6640625" style="67" customWidth="1"/>
    <col min="7709" max="7941" width="9.6640625" style="67"/>
    <col min="7942" max="7942" width="32.88671875" style="67" customWidth="1"/>
    <col min="7943" max="7943" width="6.88671875" style="67" customWidth="1"/>
    <col min="7944" max="7944" width="11.109375" style="67" customWidth="1"/>
    <col min="7945" max="7945" width="12.33203125" style="67" customWidth="1"/>
    <col min="7946" max="7946" width="13.109375" style="67" customWidth="1"/>
    <col min="7947" max="7947" width="12.109375" style="67" customWidth="1"/>
    <col min="7948" max="7948" width="11.33203125" style="67" customWidth="1"/>
    <col min="7949" max="7952" width="12.88671875" style="67" customWidth="1"/>
    <col min="7953" max="7953" width="13.109375" style="67" customWidth="1"/>
    <col min="7954" max="7954" width="12.88671875" style="67" customWidth="1"/>
    <col min="7955" max="7955" width="13.109375" style="67" customWidth="1"/>
    <col min="7956" max="7963" width="9.6640625" style="67"/>
    <col min="7964" max="7964" width="12.6640625" style="67" customWidth="1"/>
    <col min="7965" max="8197" width="9.6640625" style="67"/>
    <col min="8198" max="8198" width="32.88671875" style="67" customWidth="1"/>
    <col min="8199" max="8199" width="6.88671875" style="67" customWidth="1"/>
    <col min="8200" max="8200" width="11.109375" style="67" customWidth="1"/>
    <col min="8201" max="8201" width="12.33203125" style="67" customWidth="1"/>
    <col min="8202" max="8202" width="13.109375" style="67" customWidth="1"/>
    <col min="8203" max="8203" width="12.109375" style="67" customWidth="1"/>
    <col min="8204" max="8204" width="11.33203125" style="67" customWidth="1"/>
    <col min="8205" max="8208" width="12.88671875" style="67" customWidth="1"/>
    <col min="8209" max="8209" width="13.109375" style="67" customWidth="1"/>
    <col min="8210" max="8210" width="12.88671875" style="67" customWidth="1"/>
    <col min="8211" max="8211" width="13.109375" style="67" customWidth="1"/>
    <col min="8212" max="8219" width="9.6640625" style="67"/>
    <col min="8220" max="8220" width="12.6640625" style="67" customWidth="1"/>
    <col min="8221" max="8453" width="9.6640625" style="67"/>
    <col min="8454" max="8454" width="32.88671875" style="67" customWidth="1"/>
    <col min="8455" max="8455" width="6.88671875" style="67" customWidth="1"/>
    <col min="8456" max="8456" width="11.109375" style="67" customWidth="1"/>
    <col min="8457" max="8457" width="12.33203125" style="67" customWidth="1"/>
    <col min="8458" max="8458" width="13.109375" style="67" customWidth="1"/>
    <col min="8459" max="8459" width="12.109375" style="67" customWidth="1"/>
    <col min="8460" max="8460" width="11.33203125" style="67" customWidth="1"/>
    <col min="8461" max="8464" width="12.88671875" style="67" customWidth="1"/>
    <col min="8465" max="8465" width="13.109375" style="67" customWidth="1"/>
    <col min="8466" max="8466" width="12.88671875" style="67" customWidth="1"/>
    <col min="8467" max="8467" width="13.109375" style="67" customWidth="1"/>
    <col min="8468" max="8475" width="9.6640625" style="67"/>
    <col min="8476" max="8476" width="12.6640625" style="67" customWidth="1"/>
    <col min="8477" max="8709" width="9.6640625" style="67"/>
    <col min="8710" max="8710" width="32.88671875" style="67" customWidth="1"/>
    <col min="8711" max="8711" width="6.88671875" style="67" customWidth="1"/>
    <col min="8712" max="8712" width="11.109375" style="67" customWidth="1"/>
    <col min="8713" max="8713" width="12.33203125" style="67" customWidth="1"/>
    <col min="8714" max="8714" width="13.109375" style="67" customWidth="1"/>
    <col min="8715" max="8715" width="12.109375" style="67" customWidth="1"/>
    <col min="8716" max="8716" width="11.33203125" style="67" customWidth="1"/>
    <col min="8717" max="8720" width="12.88671875" style="67" customWidth="1"/>
    <col min="8721" max="8721" width="13.109375" style="67" customWidth="1"/>
    <col min="8722" max="8722" width="12.88671875" style="67" customWidth="1"/>
    <col min="8723" max="8723" width="13.109375" style="67" customWidth="1"/>
    <col min="8724" max="8731" width="9.6640625" style="67"/>
    <col min="8732" max="8732" width="12.6640625" style="67" customWidth="1"/>
    <col min="8733" max="8965" width="9.6640625" style="67"/>
    <col min="8966" max="8966" width="32.88671875" style="67" customWidth="1"/>
    <col min="8967" max="8967" width="6.88671875" style="67" customWidth="1"/>
    <col min="8968" max="8968" width="11.109375" style="67" customWidth="1"/>
    <col min="8969" max="8969" width="12.33203125" style="67" customWidth="1"/>
    <col min="8970" max="8970" width="13.109375" style="67" customWidth="1"/>
    <col min="8971" max="8971" width="12.109375" style="67" customWidth="1"/>
    <col min="8972" max="8972" width="11.33203125" style="67" customWidth="1"/>
    <col min="8973" max="8976" width="12.88671875" style="67" customWidth="1"/>
    <col min="8977" max="8977" width="13.109375" style="67" customWidth="1"/>
    <col min="8978" max="8978" width="12.88671875" style="67" customWidth="1"/>
    <col min="8979" max="8979" width="13.109375" style="67" customWidth="1"/>
    <col min="8980" max="8987" width="9.6640625" style="67"/>
    <col min="8988" max="8988" width="12.6640625" style="67" customWidth="1"/>
    <col min="8989" max="9221" width="9.6640625" style="67"/>
    <col min="9222" max="9222" width="32.88671875" style="67" customWidth="1"/>
    <col min="9223" max="9223" width="6.88671875" style="67" customWidth="1"/>
    <col min="9224" max="9224" width="11.109375" style="67" customWidth="1"/>
    <col min="9225" max="9225" width="12.33203125" style="67" customWidth="1"/>
    <col min="9226" max="9226" width="13.109375" style="67" customWidth="1"/>
    <col min="9227" max="9227" width="12.109375" style="67" customWidth="1"/>
    <col min="9228" max="9228" width="11.33203125" style="67" customWidth="1"/>
    <col min="9229" max="9232" width="12.88671875" style="67" customWidth="1"/>
    <col min="9233" max="9233" width="13.109375" style="67" customWidth="1"/>
    <col min="9234" max="9234" width="12.88671875" style="67" customWidth="1"/>
    <col min="9235" max="9235" width="13.109375" style="67" customWidth="1"/>
    <col min="9236" max="9243" width="9.6640625" style="67"/>
    <col min="9244" max="9244" width="12.6640625" style="67" customWidth="1"/>
    <col min="9245" max="9477" width="9.6640625" style="67"/>
    <col min="9478" max="9478" width="32.88671875" style="67" customWidth="1"/>
    <col min="9479" max="9479" width="6.88671875" style="67" customWidth="1"/>
    <col min="9480" max="9480" width="11.109375" style="67" customWidth="1"/>
    <col min="9481" max="9481" width="12.33203125" style="67" customWidth="1"/>
    <col min="9482" max="9482" width="13.109375" style="67" customWidth="1"/>
    <col min="9483" max="9483" width="12.109375" style="67" customWidth="1"/>
    <col min="9484" max="9484" width="11.33203125" style="67" customWidth="1"/>
    <col min="9485" max="9488" width="12.88671875" style="67" customWidth="1"/>
    <col min="9489" max="9489" width="13.109375" style="67" customWidth="1"/>
    <col min="9490" max="9490" width="12.88671875" style="67" customWidth="1"/>
    <col min="9491" max="9491" width="13.109375" style="67" customWidth="1"/>
    <col min="9492" max="9499" width="9.6640625" style="67"/>
    <col min="9500" max="9500" width="12.6640625" style="67" customWidth="1"/>
    <col min="9501" max="9733" width="9.6640625" style="67"/>
    <col min="9734" max="9734" width="32.88671875" style="67" customWidth="1"/>
    <col min="9735" max="9735" width="6.88671875" style="67" customWidth="1"/>
    <col min="9736" max="9736" width="11.109375" style="67" customWidth="1"/>
    <col min="9737" max="9737" width="12.33203125" style="67" customWidth="1"/>
    <col min="9738" max="9738" width="13.109375" style="67" customWidth="1"/>
    <col min="9739" max="9739" width="12.109375" style="67" customWidth="1"/>
    <col min="9740" max="9740" width="11.33203125" style="67" customWidth="1"/>
    <col min="9741" max="9744" width="12.88671875" style="67" customWidth="1"/>
    <col min="9745" max="9745" width="13.109375" style="67" customWidth="1"/>
    <col min="9746" max="9746" width="12.88671875" style="67" customWidth="1"/>
    <col min="9747" max="9747" width="13.109375" style="67" customWidth="1"/>
    <col min="9748" max="9755" width="9.6640625" style="67"/>
    <col min="9756" max="9756" width="12.6640625" style="67" customWidth="1"/>
    <col min="9757" max="9989" width="9.6640625" style="67"/>
    <col min="9990" max="9990" width="32.88671875" style="67" customWidth="1"/>
    <col min="9991" max="9991" width="6.88671875" style="67" customWidth="1"/>
    <col min="9992" max="9992" width="11.109375" style="67" customWidth="1"/>
    <col min="9993" max="9993" width="12.33203125" style="67" customWidth="1"/>
    <col min="9994" max="9994" width="13.109375" style="67" customWidth="1"/>
    <col min="9995" max="9995" width="12.109375" style="67" customWidth="1"/>
    <col min="9996" max="9996" width="11.33203125" style="67" customWidth="1"/>
    <col min="9997" max="10000" width="12.88671875" style="67" customWidth="1"/>
    <col min="10001" max="10001" width="13.109375" style="67" customWidth="1"/>
    <col min="10002" max="10002" width="12.88671875" style="67" customWidth="1"/>
    <col min="10003" max="10003" width="13.109375" style="67" customWidth="1"/>
    <col min="10004" max="10011" width="9.6640625" style="67"/>
    <col min="10012" max="10012" width="12.6640625" style="67" customWidth="1"/>
    <col min="10013" max="10245" width="9.6640625" style="67"/>
    <col min="10246" max="10246" width="32.88671875" style="67" customWidth="1"/>
    <col min="10247" max="10247" width="6.88671875" style="67" customWidth="1"/>
    <col min="10248" max="10248" width="11.109375" style="67" customWidth="1"/>
    <col min="10249" max="10249" width="12.33203125" style="67" customWidth="1"/>
    <col min="10250" max="10250" width="13.109375" style="67" customWidth="1"/>
    <col min="10251" max="10251" width="12.109375" style="67" customWidth="1"/>
    <col min="10252" max="10252" width="11.33203125" style="67" customWidth="1"/>
    <col min="10253" max="10256" width="12.88671875" style="67" customWidth="1"/>
    <col min="10257" max="10257" width="13.109375" style="67" customWidth="1"/>
    <col min="10258" max="10258" width="12.88671875" style="67" customWidth="1"/>
    <col min="10259" max="10259" width="13.109375" style="67" customWidth="1"/>
    <col min="10260" max="10267" width="9.6640625" style="67"/>
    <col min="10268" max="10268" width="12.6640625" style="67" customWidth="1"/>
    <col min="10269" max="10501" width="9.6640625" style="67"/>
    <col min="10502" max="10502" width="32.88671875" style="67" customWidth="1"/>
    <col min="10503" max="10503" width="6.88671875" style="67" customWidth="1"/>
    <col min="10504" max="10504" width="11.109375" style="67" customWidth="1"/>
    <col min="10505" max="10505" width="12.33203125" style="67" customWidth="1"/>
    <col min="10506" max="10506" width="13.109375" style="67" customWidth="1"/>
    <col min="10507" max="10507" width="12.109375" style="67" customWidth="1"/>
    <col min="10508" max="10508" width="11.33203125" style="67" customWidth="1"/>
    <col min="10509" max="10512" width="12.88671875" style="67" customWidth="1"/>
    <col min="10513" max="10513" width="13.109375" style="67" customWidth="1"/>
    <col min="10514" max="10514" width="12.88671875" style="67" customWidth="1"/>
    <col min="10515" max="10515" width="13.109375" style="67" customWidth="1"/>
    <col min="10516" max="10523" width="9.6640625" style="67"/>
    <col min="10524" max="10524" width="12.6640625" style="67" customWidth="1"/>
    <col min="10525" max="10757" width="9.6640625" style="67"/>
    <col min="10758" max="10758" width="32.88671875" style="67" customWidth="1"/>
    <col min="10759" max="10759" width="6.88671875" style="67" customWidth="1"/>
    <col min="10760" max="10760" width="11.109375" style="67" customWidth="1"/>
    <col min="10761" max="10761" width="12.33203125" style="67" customWidth="1"/>
    <col min="10762" max="10762" width="13.109375" style="67" customWidth="1"/>
    <col min="10763" max="10763" width="12.109375" style="67" customWidth="1"/>
    <col min="10764" max="10764" width="11.33203125" style="67" customWidth="1"/>
    <col min="10765" max="10768" width="12.88671875" style="67" customWidth="1"/>
    <col min="10769" max="10769" width="13.109375" style="67" customWidth="1"/>
    <col min="10770" max="10770" width="12.88671875" style="67" customWidth="1"/>
    <col min="10771" max="10771" width="13.109375" style="67" customWidth="1"/>
    <col min="10772" max="10779" width="9.6640625" style="67"/>
    <col min="10780" max="10780" width="12.6640625" style="67" customWidth="1"/>
    <col min="10781" max="11013" width="9.6640625" style="67"/>
    <col min="11014" max="11014" width="32.88671875" style="67" customWidth="1"/>
    <col min="11015" max="11015" width="6.88671875" style="67" customWidth="1"/>
    <col min="11016" max="11016" width="11.109375" style="67" customWidth="1"/>
    <col min="11017" max="11017" width="12.33203125" style="67" customWidth="1"/>
    <col min="11018" max="11018" width="13.109375" style="67" customWidth="1"/>
    <col min="11019" max="11019" width="12.109375" style="67" customWidth="1"/>
    <col min="11020" max="11020" width="11.33203125" style="67" customWidth="1"/>
    <col min="11021" max="11024" width="12.88671875" style="67" customWidth="1"/>
    <col min="11025" max="11025" width="13.109375" style="67" customWidth="1"/>
    <col min="11026" max="11026" width="12.88671875" style="67" customWidth="1"/>
    <col min="11027" max="11027" width="13.109375" style="67" customWidth="1"/>
    <col min="11028" max="11035" width="9.6640625" style="67"/>
    <col min="11036" max="11036" width="12.6640625" style="67" customWidth="1"/>
    <col min="11037" max="11269" width="9.6640625" style="67"/>
    <col min="11270" max="11270" width="32.88671875" style="67" customWidth="1"/>
    <col min="11271" max="11271" width="6.88671875" style="67" customWidth="1"/>
    <col min="11272" max="11272" width="11.109375" style="67" customWidth="1"/>
    <col min="11273" max="11273" width="12.33203125" style="67" customWidth="1"/>
    <col min="11274" max="11274" width="13.109375" style="67" customWidth="1"/>
    <col min="11275" max="11275" width="12.109375" style="67" customWidth="1"/>
    <col min="11276" max="11276" width="11.33203125" style="67" customWidth="1"/>
    <col min="11277" max="11280" width="12.88671875" style="67" customWidth="1"/>
    <col min="11281" max="11281" width="13.109375" style="67" customWidth="1"/>
    <col min="11282" max="11282" width="12.88671875" style="67" customWidth="1"/>
    <col min="11283" max="11283" width="13.109375" style="67" customWidth="1"/>
    <col min="11284" max="11291" width="9.6640625" style="67"/>
    <col min="11292" max="11292" width="12.6640625" style="67" customWidth="1"/>
    <col min="11293" max="11525" width="9.6640625" style="67"/>
    <col min="11526" max="11526" width="32.88671875" style="67" customWidth="1"/>
    <col min="11527" max="11527" width="6.88671875" style="67" customWidth="1"/>
    <col min="11528" max="11528" width="11.109375" style="67" customWidth="1"/>
    <col min="11529" max="11529" width="12.33203125" style="67" customWidth="1"/>
    <col min="11530" max="11530" width="13.109375" style="67" customWidth="1"/>
    <col min="11531" max="11531" width="12.109375" style="67" customWidth="1"/>
    <col min="11532" max="11532" width="11.33203125" style="67" customWidth="1"/>
    <col min="11533" max="11536" width="12.88671875" style="67" customWidth="1"/>
    <col min="11537" max="11537" width="13.109375" style="67" customWidth="1"/>
    <col min="11538" max="11538" width="12.88671875" style="67" customWidth="1"/>
    <col min="11539" max="11539" width="13.109375" style="67" customWidth="1"/>
    <col min="11540" max="11547" width="9.6640625" style="67"/>
    <col min="11548" max="11548" width="12.6640625" style="67" customWidth="1"/>
    <col min="11549" max="11781" width="9.6640625" style="67"/>
    <col min="11782" max="11782" width="32.88671875" style="67" customWidth="1"/>
    <col min="11783" max="11783" width="6.88671875" style="67" customWidth="1"/>
    <col min="11784" max="11784" width="11.109375" style="67" customWidth="1"/>
    <col min="11785" max="11785" width="12.33203125" style="67" customWidth="1"/>
    <col min="11786" max="11786" width="13.109375" style="67" customWidth="1"/>
    <col min="11787" max="11787" width="12.109375" style="67" customWidth="1"/>
    <col min="11788" max="11788" width="11.33203125" style="67" customWidth="1"/>
    <col min="11789" max="11792" width="12.88671875" style="67" customWidth="1"/>
    <col min="11793" max="11793" width="13.109375" style="67" customWidth="1"/>
    <col min="11794" max="11794" width="12.88671875" style="67" customWidth="1"/>
    <col min="11795" max="11795" width="13.109375" style="67" customWidth="1"/>
    <col min="11796" max="11803" width="9.6640625" style="67"/>
    <col min="11804" max="11804" width="12.6640625" style="67" customWidth="1"/>
    <col min="11805" max="12037" width="9.6640625" style="67"/>
    <col min="12038" max="12038" width="32.88671875" style="67" customWidth="1"/>
    <col min="12039" max="12039" width="6.88671875" style="67" customWidth="1"/>
    <col min="12040" max="12040" width="11.109375" style="67" customWidth="1"/>
    <col min="12041" max="12041" width="12.33203125" style="67" customWidth="1"/>
    <col min="12042" max="12042" width="13.109375" style="67" customWidth="1"/>
    <col min="12043" max="12043" width="12.109375" style="67" customWidth="1"/>
    <col min="12044" max="12044" width="11.33203125" style="67" customWidth="1"/>
    <col min="12045" max="12048" width="12.88671875" style="67" customWidth="1"/>
    <col min="12049" max="12049" width="13.109375" style="67" customWidth="1"/>
    <col min="12050" max="12050" width="12.88671875" style="67" customWidth="1"/>
    <col min="12051" max="12051" width="13.109375" style="67" customWidth="1"/>
    <col min="12052" max="12059" width="9.6640625" style="67"/>
    <col min="12060" max="12060" width="12.6640625" style="67" customWidth="1"/>
    <col min="12061" max="12293" width="9.6640625" style="67"/>
    <col min="12294" max="12294" width="32.88671875" style="67" customWidth="1"/>
    <col min="12295" max="12295" width="6.88671875" style="67" customWidth="1"/>
    <col min="12296" max="12296" width="11.109375" style="67" customWidth="1"/>
    <col min="12297" max="12297" width="12.33203125" style="67" customWidth="1"/>
    <col min="12298" max="12298" width="13.109375" style="67" customWidth="1"/>
    <col min="12299" max="12299" width="12.109375" style="67" customWidth="1"/>
    <col min="12300" max="12300" width="11.33203125" style="67" customWidth="1"/>
    <col min="12301" max="12304" width="12.88671875" style="67" customWidth="1"/>
    <col min="12305" max="12305" width="13.109375" style="67" customWidth="1"/>
    <col min="12306" max="12306" width="12.88671875" style="67" customWidth="1"/>
    <col min="12307" max="12307" width="13.109375" style="67" customWidth="1"/>
    <col min="12308" max="12315" width="9.6640625" style="67"/>
    <col min="12316" max="12316" width="12.6640625" style="67" customWidth="1"/>
    <col min="12317" max="12549" width="9.6640625" style="67"/>
    <col min="12550" max="12550" width="32.88671875" style="67" customWidth="1"/>
    <col min="12551" max="12551" width="6.88671875" style="67" customWidth="1"/>
    <col min="12552" max="12552" width="11.109375" style="67" customWidth="1"/>
    <col min="12553" max="12553" width="12.33203125" style="67" customWidth="1"/>
    <col min="12554" max="12554" width="13.109375" style="67" customWidth="1"/>
    <col min="12555" max="12555" width="12.109375" style="67" customWidth="1"/>
    <col min="12556" max="12556" width="11.33203125" style="67" customWidth="1"/>
    <col min="12557" max="12560" width="12.88671875" style="67" customWidth="1"/>
    <col min="12561" max="12561" width="13.109375" style="67" customWidth="1"/>
    <col min="12562" max="12562" width="12.88671875" style="67" customWidth="1"/>
    <col min="12563" max="12563" width="13.109375" style="67" customWidth="1"/>
    <col min="12564" max="12571" width="9.6640625" style="67"/>
    <col min="12572" max="12572" width="12.6640625" style="67" customWidth="1"/>
    <col min="12573" max="12805" width="9.6640625" style="67"/>
    <col min="12806" max="12806" width="32.88671875" style="67" customWidth="1"/>
    <col min="12807" max="12807" width="6.88671875" style="67" customWidth="1"/>
    <col min="12808" max="12808" width="11.109375" style="67" customWidth="1"/>
    <col min="12809" max="12809" width="12.33203125" style="67" customWidth="1"/>
    <col min="12810" max="12810" width="13.109375" style="67" customWidth="1"/>
    <col min="12811" max="12811" width="12.109375" style="67" customWidth="1"/>
    <col min="12812" max="12812" width="11.33203125" style="67" customWidth="1"/>
    <col min="12813" max="12816" width="12.88671875" style="67" customWidth="1"/>
    <col min="12817" max="12817" width="13.109375" style="67" customWidth="1"/>
    <col min="12818" max="12818" width="12.88671875" style="67" customWidth="1"/>
    <col min="12819" max="12819" width="13.109375" style="67" customWidth="1"/>
    <col min="12820" max="12827" width="9.6640625" style="67"/>
    <col min="12828" max="12828" width="12.6640625" style="67" customWidth="1"/>
    <col min="12829" max="13061" width="9.6640625" style="67"/>
    <col min="13062" max="13062" width="32.88671875" style="67" customWidth="1"/>
    <col min="13063" max="13063" width="6.88671875" style="67" customWidth="1"/>
    <col min="13064" max="13064" width="11.109375" style="67" customWidth="1"/>
    <col min="13065" max="13065" width="12.33203125" style="67" customWidth="1"/>
    <col min="13066" max="13066" width="13.109375" style="67" customWidth="1"/>
    <col min="13067" max="13067" width="12.109375" style="67" customWidth="1"/>
    <col min="13068" max="13068" width="11.33203125" style="67" customWidth="1"/>
    <col min="13069" max="13072" width="12.88671875" style="67" customWidth="1"/>
    <col min="13073" max="13073" width="13.109375" style="67" customWidth="1"/>
    <col min="13074" max="13074" width="12.88671875" style="67" customWidth="1"/>
    <col min="13075" max="13075" width="13.109375" style="67" customWidth="1"/>
    <col min="13076" max="13083" width="9.6640625" style="67"/>
    <col min="13084" max="13084" width="12.6640625" style="67" customWidth="1"/>
    <col min="13085" max="13317" width="9.6640625" style="67"/>
    <col min="13318" max="13318" width="32.88671875" style="67" customWidth="1"/>
    <col min="13319" max="13319" width="6.88671875" style="67" customWidth="1"/>
    <col min="13320" max="13320" width="11.109375" style="67" customWidth="1"/>
    <col min="13321" max="13321" width="12.33203125" style="67" customWidth="1"/>
    <col min="13322" max="13322" width="13.109375" style="67" customWidth="1"/>
    <col min="13323" max="13323" width="12.109375" style="67" customWidth="1"/>
    <col min="13324" max="13324" width="11.33203125" style="67" customWidth="1"/>
    <col min="13325" max="13328" width="12.88671875" style="67" customWidth="1"/>
    <col min="13329" max="13329" width="13.109375" style="67" customWidth="1"/>
    <col min="13330" max="13330" width="12.88671875" style="67" customWidth="1"/>
    <col min="13331" max="13331" width="13.109375" style="67" customWidth="1"/>
    <col min="13332" max="13339" width="9.6640625" style="67"/>
    <col min="13340" max="13340" width="12.6640625" style="67" customWidth="1"/>
    <col min="13341" max="13573" width="9.6640625" style="67"/>
    <col min="13574" max="13574" width="32.88671875" style="67" customWidth="1"/>
    <col min="13575" max="13575" width="6.88671875" style="67" customWidth="1"/>
    <col min="13576" max="13576" width="11.109375" style="67" customWidth="1"/>
    <col min="13577" max="13577" width="12.33203125" style="67" customWidth="1"/>
    <col min="13578" max="13578" width="13.109375" style="67" customWidth="1"/>
    <col min="13579" max="13579" width="12.109375" style="67" customWidth="1"/>
    <col min="13580" max="13580" width="11.33203125" style="67" customWidth="1"/>
    <col min="13581" max="13584" width="12.88671875" style="67" customWidth="1"/>
    <col min="13585" max="13585" width="13.109375" style="67" customWidth="1"/>
    <col min="13586" max="13586" width="12.88671875" style="67" customWidth="1"/>
    <col min="13587" max="13587" width="13.109375" style="67" customWidth="1"/>
    <col min="13588" max="13595" width="9.6640625" style="67"/>
    <col min="13596" max="13596" width="12.6640625" style="67" customWidth="1"/>
    <col min="13597" max="13829" width="9.6640625" style="67"/>
    <col min="13830" max="13830" width="32.88671875" style="67" customWidth="1"/>
    <col min="13831" max="13831" width="6.88671875" style="67" customWidth="1"/>
    <col min="13832" max="13832" width="11.109375" style="67" customWidth="1"/>
    <col min="13833" max="13833" width="12.33203125" style="67" customWidth="1"/>
    <col min="13834" max="13834" width="13.109375" style="67" customWidth="1"/>
    <col min="13835" max="13835" width="12.109375" style="67" customWidth="1"/>
    <col min="13836" max="13836" width="11.33203125" style="67" customWidth="1"/>
    <col min="13837" max="13840" width="12.88671875" style="67" customWidth="1"/>
    <col min="13841" max="13841" width="13.109375" style="67" customWidth="1"/>
    <col min="13842" max="13842" width="12.88671875" style="67" customWidth="1"/>
    <col min="13843" max="13843" width="13.109375" style="67" customWidth="1"/>
    <col min="13844" max="13851" width="9.6640625" style="67"/>
    <col min="13852" max="13852" width="12.6640625" style="67" customWidth="1"/>
    <col min="13853" max="14085" width="9.6640625" style="67"/>
    <col min="14086" max="14086" width="32.88671875" style="67" customWidth="1"/>
    <col min="14087" max="14087" width="6.88671875" style="67" customWidth="1"/>
    <col min="14088" max="14088" width="11.109375" style="67" customWidth="1"/>
    <col min="14089" max="14089" width="12.33203125" style="67" customWidth="1"/>
    <col min="14090" max="14090" width="13.109375" style="67" customWidth="1"/>
    <col min="14091" max="14091" width="12.109375" style="67" customWidth="1"/>
    <col min="14092" max="14092" width="11.33203125" style="67" customWidth="1"/>
    <col min="14093" max="14096" width="12.88671875" style="67" customWidth="1"/>
    <col min="14097" max="14097" width="13.109375" style="67" customWidth="1"/>
    <col min="14098" max="14098" width="12.88671875" style="67" customWidth="1"/>
    <col min="14099" max="14099" width="13.109375" style="67" customWidth="1"/>
    <col min="14100" max="14107" width="9.6640625" style="67"/>
    <col min="14108" max="14108" width="12.6640625" style="67" customWidth="1"/>
    <col min="14109" max="14341" width="9.6640625" style="67"/>
    <col min="14342" max="14342" width="32.88671875" style="67" customWidth="1"/>
    <col min="14343" max="14343" width="6.88671875" style="67" customWidth="1"/>
    <col min="14344" max="14344" width="11.109375" style="67" customWidth="1"/>
    <col min="14345" max="14345" width="12.33203125" style="67" customWidth="1"/>
    <col min="14346" max="14346" width="13.109375" style="67" customWidth="1"/>
    <col min="14347" max="14347" width="12.109375" style="67" customWidth="1"/>
    <col min="14348" max="14348" width="11.33203125" style="67" customWidth="1"/>
    <col min="14349" max="14352" width="12.88671875" style="67" customWidth="1"/>
    <col min="14353" max="14353" width="13.109375" style="67" customWidth="1"/>
    <col min="14354" max="14354" width="12.88671875" style="67" customWidth="1"/>
    <col min="14355" max="14355" width="13.109375" style="67" customWidth="1"/>
    <col min="14356" max="14363" width="9.6640625" style="67"/>
    <col min="14364" max="14364" width="12.6640625" style="67" customWidth="1"/>
    <col min="14365" max="14597" width="9.6640625" style="67"/>
    <col min="14598" max="14598" width="32.88671875" style="67" customWidth="1"/>
    <col min="14599" max="14599" width="6.88671875" style="67" customWidth="1"/>
    <col min="14600" max="14600" width="11.109375" style="67" customWidth="1"/>
    <col min="14601" max="14601" width="12.33203125" style="67" customWidth="1"/>
    <col min="14602" max="14602" width="13.109375" style="67" customWidth="1"/>
    <col min="14603" max="14603" width="12.109375" style="67" customWidth="1"/>
    <col min="14604" max="14604" width="11.33203125" style="67" customWidth="1"/>
    <col min="14605" max="14608" width="12.88671875" style="67" customWidth="1"/>
    <col min="14609" max="14609" width="13.109375" style="67" customWidth="1"/>
    <col min="14610" max="14610" width="12.88671875" style="67" customWidth="1"/>
    <col min="14611" max="14611" width="13.109375" style="67" customWidth="1"/>
    <col min="14612" max="14619" width="9.6640625" style="67"/>
    <col min="14620" max="14620" width="12.6640625" style="67" customWidth="1"/>
    <col min="14621" max="14853" width="9.6640625" style="67"/>
    <col min="14854" max="14854" width="32.88671875" style="67" customWidth="1"/>
    <col min="14855" max="14855" width="6.88671875" style="67" customWidth="1"/>
    <col min="14856" max="14856" width="11.109375" style="67" customWidth="1"/>
    <col min="14857" max="14857" width="12.33203125" style="67" customWidth="1"/>
    <col min="14858" max="14858" width="13.109375" style="67" customWidth="1"/>
    <col min="14859" max="14859" width="12.109375" style="67" customWidth="1"/>
    <col min="14860" max="14860" width="11.33203125" style="67" customWidth="1"/>
    <col min="14861" max="14864" width="12.88671875" style="67" customWidth="1"/>
    <col min="14865" max="14865" width="13.109375" style="67" customWidth="1"/>
    <col min="14866" max="14866" width="12.88671875" style="67" customWidth="1"/>
    <col min="14867" max="14867" width="13.109375" style="67" customWidth="1"/>
    <col min="14868" max="14875" width="9.6640625" style="67"/>
    <col min="14876" max="14876" width="12.6640625" style="67" customWidth="1"/>
    <col min="14877" max="15109" width="9.6640625" style="67"/>
    <col min="15110" max="15110" width="32.88671875" style="67" customWidth="1"/>
    <col min="15111" max="15111" width="6.88671875" style="67" customWidth="1"/>
    <col min="15112" max="15112" width="11.109375" style="67" customWidth="1"/>
    <col min="15113" max="15113" width="12.33203125" style="67" customWidth="1"/>
    <col min="15114" max="15114" width="13.109375" style="67" customWidth="1"/>
    <col min="15115" max="15115" width="12.109375" style="67" customWidth="1"/>
    <col min="15116" max="15116" width="11.33203125" style="67" customWidth="1"/>
    <col min="15117" max="15120" width="12.88671875" style="67" customWidth="1"/>
    <col min="15121" max="15121" width="13.109375" style="67" customWidth="1"/>
    <col min="15122" max="15122" width="12.88671875" style="67" customWidth="1"/>
    <col min="15123" max="15123" width="13.109375" style="67" customWidth="1"/>
    <col min="15124" max="15131" width="9.6640625" style="67"/>
    <col min="15132" max="15132" width="12.6640625" style="67" customWidth="1"/>
    <col min="15133" max="15365" width="9.6640625" style="67"/>
    <col min="15366" max="15366" width="32.88671875" style="67" customWidth="1"/>
    <col min="15367" max="15367" width="6.88671875" style="67" customWidth="1"/>
    <col min="15368" max="15368" width="11.109375" style="67" customWidth="1"/>
    <col min="15369" max="15369" width="12.33203125" style="67" customWidth="1"/>
    <col min="15370" max="15370" width="13.109375" style="67" customWidth="1"/>
    <col min="15371" max="15371" width="12.109375" style="67" customWidth="1"/>
    <col min="15372" max="15372" width="11.33203125" style="67" customWidth="1"/>
    <col min="15373" max="15376" width="12.88671875" style="67" customWidth="1"/>
    <col min="15377" max="15377" width="13.109375" style="67" customWidth="1"/>
    <col min="15378" max="15378" width="12.88671875" style="67" customWidth="1"/>
    <col min="15379" max="15379" width="13.109375" style="67" customWidth="1"/>
    <col min="15380" max="15387" width="9.6640625" style="67"/>
    <col min="15388" max="15388" width="12.6640625" style="67" customWidth="1"/>
    <col min="15389" max="15621" width="9.6640625" style="67"/>
    <col min="15622" max="15622" width="32.88671875" style="67" customWidth="1"/>
    <col min="15623" max="15623" width="6.88671875" style="67" customWidth="1"/>
    <col min="15624" max="15624" width="11.109375" style="67" customWidth="1"/>
    <col min="15625" max="15625" width="12.33203125" style="67" customWidth="1"/>
    <col min="15626" max="15626" width="13.109375" style="67" customWidth="1"/>
    <col min="15627" max="15627" width="12.109375" style="67" customWidth="1"/>
    <col min="15628" max="15628" width="11.33203125" style="67" customWidth="1"/>
    <col min="15629" max="15632" width="12.88671875" style="67" customWidth="1"/>
    <col min="15633" max="15633" width="13.109375" style="67" customWidth="1"/>
    <col min="15634" max="15634" width="12.88671875" style="67" customWidth="1"/>
    <col min="15635" max="15635" width="13.109375" style="67" customWidth="1"/>
    <col min="15636" max="15643" width="9.6640625" style="67"/>
    <col min="15644" max="15644" width="12.6640625" style="67" customWidth="1"/>
    <col min="15645" max="15877" width="9.6640625" style="67"/>
    <col min="15878" max="15878" width="32.88671875" style="67" customWidth="1"/>
    <col min="15879" max="15879" width="6.88671875" style="67" customWidth="1"/>
    <col min="15880" max="15880" width="11.109375" style="67" customWidth="1"/>
    <col min="15881" max="15881" width="12.33203125" style="67" customWidth="1"/>
    <col min="15882" max="15882" width="13.109375" style="67" customWidth="1"/>
    <col min="15883" max="15883" width="12.109375" style="67" customWidth="1"/>
    <col min="15884" max="15884" width="11.33203125" style="67" customWidth="1"/>
    <col min="15885" max="15888" width="12.88671875" style="67" customWidth="1"/>
    <col min="15889" max="15889" width="13.109375" style="67" customWidth="1"/>
    <col min="15890" max="15890" width="12.88671875" style="67" customWidth="1"/>
    <col min="15891" max="15891" width="13.109375" style="67" customWidth="1"/>
    <col min="15892" max="15899" width="9.6640625" style="67"/>
    <col min="15900" max="15900" width="12.6640625" style="67" customWidth="1"/>
    <col min="15901" max="16133" width="9.6640625" style="67"/>
    <col min="16134" max="16134" width="32.88671875" style="67" customWidth="1"/>
    <col min="16135" max="16135" width="6.88671875" style="67" customWidth="1"/>
    <col min="16136" max="16136" width="11.109375" style="67" customWidth="1"/>
    <col min="16137" max="16137" width="12.33203125" style="67" customWidth="1"/>
    <col min="16138" max="16138" width="13.109375" style="67" customWidth="1"/>
    <col min="16139" max="16139" width="12.109375" style="67" customWidth="1"/>
    <col min="16140" max="16140" width="11.33203125" style="67" customWidth="1"/>
    <col min="16141" max="16144" width="12.88671875" style="67" customWidth="1"/>
    <col min="16145" max="16145" width="13.109375" style="67" customWidth="1"/>
    <col min="16146" max="16146" width="12.88671875" style="67" customWidth="1"/>
    <col min="16147" max="16147" width="13.109375" style="67" customWidth="1"/>
    <col min="16148" max="16155" width="9.6640625" style="67"/>
    <col min="16156" max="16156" width="12.6640625" style="67" customWidth="1"/>
    <col min="16157" max="16384" width="9.6640625" style="67"/>
  </cols>
  <sheetData>
    <row r="1" spans="1:98" ht="13.5" customHeight="1" x14ac:dyDescent="0.2">
      <c r="A1" s="405" t="s">
        <v>416</v>
      </c>
      <c r="B1" s="210"/>
      <c r="C1" s="210"/>
      <c r="D1" s="210"/>
      <c r="E1" s="210"/>
      <c r="F1" s="210"/>
      <c r="G1" s="210"/>
      <c r="H1" s="210"/>
      <c r="I1" s="406"/>
      <c r="J1" s="406"/>
      <c r="K1" s="406"/>
      <c r="L1" s="406"/>
      <c r="M1" s="406"/>
      <c r="N1" s="534"/>
      <c r="O1" s="406"/>
      <c r="P1" s="576"/>
      <c r="Q1" s="576"/>
      <c r="R1" s="584"/>
      <c r="S1" s="162"/>
      <c r="T1" s="163"/>
      <c r="U1" s="162"/>
      <c r="V1" s="98"/>
      <c r="W1" s="98"/>
      <c r="X1" s="98"/>
      <c r="Y1" s="98"/>
      <c r="Z1" s="98"/>
      <c r="AA1" s="164"/>
      <c r="AB1" s="98"/>
      <c r="AC1" s="98"/>
    </row>
    <row r="2" spans="1:98" ht="13.5" customHeight="1" x14ac:dyDescent="0.2">
      <c r="A2" s="407"/>
      <c r="B2" s="66"/>
      <c r="C2" s="408"/>
      <c r="D2" s="66"/>
      <c r="E2" s="66"/>
      <c r="F2" s="66"/>
      <c r="G2" s="66"/>
      <c r="H2" s="66"/>
      <c r="I2" s="401"/>
      <c r="J2" s="401"/>
      <c r="K2" s="401"/>
      <c r="L2" s="409"/>
      <c r="M2" s="401"/>
      <c r="N2" s="535"/>
      <c r="O2" s="401"/>
      <c r="P2" s="577"/>
      <c r="Q2" s="577"/>
      <c r="R2" s="585"/>
      <c r="S2" s="162"/>
      <c r="T2" s="163"/>
      <c r="U2" s="162"/>
      <c r="V2" s="98"/>
      <c r="W2" s="98"/>
      <c r="X2" s="98"/>
      <c r="Y2" s="98"/>
      <c r="Z2" s="98"/>
      <c r="AA2" s="164"/>
      <c r="AB2" s="98"/>
      <c r="AC2" s="98"/>
    </row>
    <row r="3" spans="1:98" x14ac:dyDescent="0.2">
      <c r="A3" s="402" t="s">
        <v>79</v>
      </c>
      <c r="B3" s="120"/>
      <c r="C3" s="410" t="s">
        <v>28</v>
      </c>
      <c r="D3" s="410" t="s">
        <v>29</v>
      </c>
      <c r="E3" s="410" t="s">
        <v>30</v>
      </c>
      <c r="F3" s="410" t="s">
        <v>31</v>
      </c>
      <c r="G3" s="410" t="s">
        <v>32</v>
      </c>
      <c r="H3" s="410" t="s">
        <v>245</v>
      </c>
      <c r="I3" s="410" t="s">
        <v>248</v>
      </c>
      <c r="J3" s="410" t="s">
        <v>252</v>
      </c>
      <c r="K3" s="410" t="s">
        <v>286</v>
      </c>
      <c r="L3" s="69" t="s">
        <v>334</v>
      </c>
      <c r="M3" s="69" t="s">
        <v>374</v>
      </c>
      <c r="N3" s="411" t="s">
        <v>374</v>
      </c>
      <c r="O3" s="411" t="s">
        <v>444</v>
      </c>
      <c r="P3" s="411"/>
      <c r="Q3" s="411" t="s">
        <v>469</v>
      </c>
      <c r="R3" s="586"/>
      <c r="S3" s="117"/>
      <c r="T3" s="163"/>
      <c r="U3" s="165"/>
      <c r="V3" s="98"/>
      <c r="W3" s="98"/>
      <c r="X3" s="98"/>
      <c r="Y3" s="98"/>
      <c r="Z3" s="98"/>
      <c r="AA3" s="166"/>
      <c r="AB3" s="98"/>
      <c r="AC3" s="98"/>
    </row>
    <row r="4" spans="1:98" ht="15.75" customHeight="1" x14ac:dyDescent="0.2">
      <c r="A4" s="402" t="s">
        <v>80</v>
      </c>
      <c r="B4" s="120"/>
      <c r="C4" s="265" t="s">
        <v>81</v>
      </c>
      <c r="D4" s="265" t="s">
        <v>81</v>
      </c>
      <c r="E4" s="265" t="s">
        <v>81</v>
      </c>
      <c r="F4" s="265" t="s">
        <v>81</v>
      </c>
      <c r="G4" s="265" t="s">
        <v>81</v>
      </c>
      <c r="H4" s="265" t="s">
        <v>81</v>
      </c>
      <c r="I4" s="265" t="s">
        <v>366</v>
      </c>
      <c r="J4" s="265" t="s">
        <v>366</v>
      </c>
      <c r="K4" s="265" t="s">
        <v>366</v>
      </c>
      <c r="L4" s="265" t="s">
        <v>366</v>
      </c>
      <c r="M4" s="265" t="s">
        <v>366</v>
      </c>
      <c r="N4" s="535" t="s">
        <v>368</v>
      </c>
      <c r="O4" s="404" t="s">
        <v>368</v>
      </c>
      <c r="P4" s="203" t="s">
        <v>367</v>
      </c>
      <c r="Q4" s="203"/>
      <c r="R4" s="412"/>
      <c r="S4" s="167"/>
      <c r="T4" s="163"/>
      <c r="U4" s="168"/>
      <c r="V4" s="98"/>
      <c r="W4" s="98"/>
      <c r="X4" s="98"/>
      <c r="Y4" s="98"/>
      <c r="Z4" s="98"/>
      <c r="AA4" s="166"/>
      <c r="AB4" s="98"/>
      <c r="AC4" s="98"/>
    </row>
    <row r="5" spans="1:98" ht="11.25" customHeight="1" x14ac:dyDescent="0.2">
      <c r="A5" s="413" t="s">
        <v>82</v>
      </c>
      <c r="B5" s="93"/>
      <c r="C5" s="285" t="s">
        <v>102</v>
      </c>
      <c r="D5" s="285" t="s">
        <v>102</v>
      </c>
      <c r="E5" s="285" t="s">
        <v>102</v>
      </c>
      <c r="F5" s="285" t="s">
        <v>102</v>
      </c>
      <c r="G5" s="285" t="s">
        <v>102</v>
      </c>
      <c r="H5" s="285" t="s">
        <v>102</v>
      </c>
      <c r="I5" s="285" t="s">
        <v>102</v>
      </c>
      <c r="J5" s="285" t="s">
        <v>102</v>
      </c>
      <c r="K5" s="285" t="s">
        <v>102</v>
      </c>
      <c r="L5" s="285" t="s">
        <v>102</v>
      </c>
      <c r="M5" s="285" t="s">
        <v>102</v>
      </c>
      <c r="N5" s="536" t="s">
        <v>483</v>
      </c>
      <c r="O5" s="155" t="s">
        <v>481</v>
      </c>
      <c r="P5" s="155" t="s">
        <v>351</v>
      </c>
      <c r="Q5" s="155"/>
      <c r="R5" s="414" t="s">
        <v>21</v>
      </c>
      <c r="S5" s="169"/>
      <c r="T5" s="163"/>
      <c r="U5" s="165"/>
      <c r="V5" s="98"/>
      <c r="W5" s="98"/>
      <c r="X5" s="98"/>
      <c r="Y5" s="98"/>
      <c r="Z5" s="98"/>
      <c r="AA5" s="166"/>
      <c r="AB5" s="98"/>
      <c r="AC5" s="166"/>
      <c r="AD5" s="70"/>
    </row>
    <row r="6" spans="1:98" ht="13.2" customHeight="1" x14ac:dyDescent="0.2">
      <c r="A6" s="415"/>
      <c r="B6" s="286"/>
      <c r="C6" s="293"/>
      <c r="D6" s="293"/>
      <c r="E6" s="293"/>
      <c r="F6" s="293"/>
      <c r="G6" s="293"/>
      <c r="H6" s="293"/>
      <c r="I6" s="293"/>
      <c r="J6" s="293"/>
      <c r="K6" s="293"/>
      <c r="L6" s="204"/>
      <c r="M6" s="204"/>
      <c r="N6" s="537"/>
      <c r="O6" s="204"/>
      <c r="P6" s="578"/>
      <c r="Q6" s="693"/>
      <c r="R6" s="587"/>
      <c r="S6" s="192"/>
      <c r="U6" s="192"/>
      <c r="AA6" s="70"/>
      <c r="AC6" s="70"/>
      <c r="AD6" s="70"/>
    </row>
    <row r="7" spans="1:98" ht="11.4" customHeight="1" x14ac:dyDescent="0.25">
      <c r="A7" s="212" t="s">
        <v>1</v>
      </c>
      <c r="B7" s="287"/>
      <c r="C7" s="416"/>
      <c r="D7" s="417"/>
      <c r="E7" s="375"/>
      <c r="F7" s="375"/>
      <c r="G7" s="375" t="s">
        <v>84</v>
      </c>
      <c r="H7" s="418"/>
      <c r="I7" s="418"/>
      <c r="J7" s="418"/>
      <c r="K7" s="418"/>
      <c r="L7" s="193"/>
      <c r="M7" s="193"/>
      <c r="N7" s="538"/>
      <c r="O7" s="193"/>
      <c r="P7" s="579"/>
      <c r="Q7" s="694"/>
      <c r="R7" s="588"/>
      <c r="S7" s="193"/>
      <c r="U7" s="193"/>
      <c r="V7" s="126"/>
      <c r="W7" s="126"/>
      <c r="X7" s="126"/>
      <c r="Y7" s="126"/>
      <c r="Z7" s="126"/>
      <c r="AA7" s="126"/>
      <c r="AB7" s="126"/>
      <c r="AC7" s="126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50"/>
      <c r="AP7" s="126"/>
      <c r="AQ7" s="126"/>
      <c r="AR7" s="126"/>
      <c r="AS7" s="151"/>
      <c r="AT7" s="151"/>
      <c r="AU7" s="151"/>
      <c r="AV7" s="152"/>
      <c r="AW7" s="129"/>
      <c r="AX7" s="127"/>
      <c r="AY7" s="126"/>
      <c r="AZ7" s="129"/>
      <c r="BA7" s="128"/>
      <c r="BB7" s="148"/>
      <c r="BC7" s="148"/>
      <c r="BD7" s="148"/>
      <c r="BE7" s="148"/>
      <c r="BF7" s="148"/>
      <c r="BG7" s="148"/>
      <c r="BH7" s="148"/>
      <c r="BI7" s="130"/>
      <c r="BJ7" s="130"/>
      <c r="BK7" s="125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9"/>
      <c r="BY7" s="126"/>
      <c r="BZ7" s="126"/>
      <c r="CA7" s="126"/>
      <c r="CB7" s="126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</row>
    <row r="8" spans="1:98" ht="10.199999999999999" customHeight="1" x14ac:dyDescent="0.2">
      <c r="A8" s="212"/>
      <c r="B8" s="287"/>
      <c r="C8" s="416"/>
      <c r="D8" s="416"/>
      <c r="E8" s="416"/>
      <c r="F8" s="416"/>
      <c r="G8" s="416"/>
      <c r="H8" s="416"/>
      <c r="I8" s="416"/>
      <c r="J8" s="416"/>
      <c r="K8" s="416"/>
      <c r="N8" s="539"/>
      <c r="P8" s="580"/>
      <c r="Q8" s="577"/>
      <c r="R8" s="585"/>
      <c r="AA8" s="68"/>
    </row>
    <row r="9" spans="1:98" ht="12.6" x14ac:dyDescent="0.25">
      <c r="A9" s="419" t="s">
        <v>409</v>
      </c>
      <c r="B9" s="287"/>
      <c r="C9" s="560">
        <v>38.1</v>
      </c>
      <c r="D9" s="560">
        <v>30.200000000000003</v>
      </c>
      <c r="E9" s="560">
        <f t="shared" ref="E9:J9" si="0">E10+E11+E12</f>
        <v>22.200000000000003</v>
      </c>
      <c r="F9" s="560">
        <f t="shared" si="0"/>
        <v>14</v>
      </c>
      <c r="G9" s="560">
        <f t="shared" si="0"/>
        <v>27.8</v>
      </c>
      <c r="H9" s="560">
        <f t="shared" si="0"/>
        <v>39.6</v>
      </c>
      <c r="I9" s="560">
        <f t="shared" si="0"/>
        <v>35.299999999999997</v>
      </c>
      <c r="J9" s="560">
        <f t="shared" si="0"/>
        <v>26.900000000000002</v>
      </c>
      <c r="K9" s="560">
        <f t="shared" ref="K9" si="1">K10+K11+K12</f>
        <v>37.199999999999996</v>
      </c>
      <c r="L9" s="561">
        <f>L10+L11+L12</f>
        <v>31.2</v>
      </c>
      <c r="M9" s="562">
        <f>M10+M11+M12</f>
        <v>21.7</v>
      </c>
      <c r="N9" s="562">
        <f>N10+N11+N12</f>
        <v>2.9</v>
      </c>
      <c r="O9" s="562">
        <f>O10+O11+O12</f>
        <v>12.700000000000001</v>
      </c>
      <c r="P9" s="582">
        <f>O9-N9</f>
        <v>9.8000000000000007</v>
      </c>
      <c r="Q9" s="695"/>
      <c r="R9" s="589">
        <f>P9/N9*100</f>
        <v>337.93103448275866</v>
      </c>
      <c r="S9" s="194"/>
      <c r="U9" s="195"/>
      <c r="AA9" s="68"/>
    </row>
    <row r="10" spans="1:98" x14ac:dyDescent="0.2">
      <c r="A10" s="420" t="s">
        <v>103</v>
      </c>
      <c r="B10" s="287"/>
      <c r="C10" s="563">
        <v>30.6</v>
      </c>
      <c r="D10" s="563">
        <v>26.8</v>
      </c>
      <c r="E10" s="563">
        <v>18.600000000000001</v>
      </c>
      <c r="F10" s="563">
        <v>11</v>
      </c>
      <c r="G10" s="563">
        <v>24.8</v>
      </c>
      <c r="H10" s="563">
        <v>36.299999999999997</v>
      </c>
      <c r="I10" s="563">
        <v>31.9</v>
      </c>
      <c r="J10" s="563">
        <v>23.8</v>
      </c>
      <c r="K10" s="563">
        <v>36.299999999999997</v>
      </c>
      <c r="L10" s="564">
        <v>30.9</v>
      </c>
      <c r="M10" s="565">
        <v>18.600000000000001</v>
      </c>
      <c r="N10" s="565">
        <f>0.3+2.6</f>
        <v>2.9</v>
      </c>
      <c r="O10" s="565">
        <f>9.5+1.9</f>
        <v>11.4</v>
      </c>
      <c r="P10" s="582">
        <f>O10-N10</f>
        <v>8.5</v>
      </c>
      <c r="Q10" s="695"/>
      <c r="R10" s="589">
        <f t="shared" ref="R10:R69" si="2">P10/N10*100</f>
        <v>293.10344827586209</v>
      </c>
      <c r="S10" s="196"/>
      <c r="U10" s="196"/>
      <c r="AA10" s="68"/>
    </row>
    <row r="11" spans="1:98" x14ac:dyDescent="0.2">
      <c r="A11" s="420" t="s">
        <v>451</v>
      </c>
      <c r="B11" s="287"/>
      <c r="C11" s="563">
        <v>2.9</v>
      </c>
      <c r="D11" s="563">
        <v>2.2999999999999998</v>
      </c>
      <c r="E11" s="563">
        <v>2.5</v>
      </c>
      <c r="F11" s="563">
        <v>2</v>
      </c>
      <c r="G11" s="563">
        <v>2.1</v>
      </c>
      <c r="H11" s="563">
        <v>1.7</v>
      </c>
      <c r="I11" s="563">
        <v>2</v>
      </c>
      <c r="J11" s="563">
        <v>1.5</v>
      </c>
      <c r="K11" s="563">
        <v>0.4</v>
      </c>
      <c r="L11" s="564">
        <v>0.3</v>
      </c>
      <c r="M11" s="563">
        <v>2.9</v>
      </c>
      <c r="N11" s="699" t="s">
        <v>475</v>
      </c>
      <c r="O11" s="563">
        <f>0.4+0.9</f>
        <v>1.3</v>
      </c>
      <c r="P11" s="582">
        <f>O11-N11</f>
        <v>1.3</v>
      </c>
      <c r="Q11" s="695"/>
      <c r="R11" s="590" t="s">
        <v>290</v>
      </c>
      <c r="S11" s="196"/>
      <c r="U11" s="196"/>
      <c r="AA11" s="68"/>
    </row>
    <row r="12" spans="1:98" x14ac:dyDescent="0.2">
      <c r="A12" s="420" t="s">
        <v>410</v>
      </c>
      <c r="B12" s="287"/>
      <c r="C12" s="563">
        <v>4.5999999999999996</v>
      </c>
      <c r="D12" s="563">
        <v>1.1000000000000001</v>
      </c>
      <c r="E12" s="563">
        <v>1.1000000000000001</v>
      </c>
      <c r="F12" s="563">
        <v>1</v>
      </c>
      <c r="G12" s="563">
        <v>0.9</v>
      </c>
      <c r="H12" s="563">
        <v>1.6</v>
      </c>
      <c r="I12" s="563">
        <v>1.4</v>
      </c>
      <c r="J12" s="563">
        <v>1.6</v>
      </c>
      <c r="K12" s="563">
        <v>0.5</v>
      </c>
      <c r="L12" s="564">
        <v>0</v>
      </c>
      <c r="M12" s="563">
        <v>0.2</v>
      </c>
      <c r="N12" s="699" t="s">
        <v>475</v>
      </c>
      <c r="O12" s="699" t="s">
        <v>475</v>
      </c>
      <c r="P12" s="582">
        <f>O12-N12</f>
        <v>0</v>
      </c>
      <c r="Q12" s="695"/>
      <c r="R12" s="590" t="s">
        <v>290</v>
      </c>
      <c r="S12" s="196"/>
      <c r="U12" s="196"/>
      <c r="AA12" s="68"/>
    </row>
    <row r="13" spans="1:98" ht="6.75" customHeight="1" x14ac:dyDescent="0.2">
      <c r="A13" s="421"/>
      <c r="B13" s="287"/>
      <c r="C13" s="563"/>
      <c r="D13" s="563"/>
      <c r="E13" s="563"/>
      <c r="F13" s="563"/>
      <c r="G13" s="563"/>
      <c r="H13" s="563"/>
      <c r="I13" s="563"/>
      <c r="J13" s="563"/>
      <c r="K13" s="563"/>
      <c r="L13" s="564"/>
      <c r="M13" s="563"/>
      <c r="N13" s="563"/>
      <c r="O13" s="563"/>
      <c r="P13" s="582"/>
      <c r="Q13" s="695"/>
      <c r="R13" s="589"/>
      <c r="S13" s="196"/>
      <c r="U13" s="196"/>
      <c r="AA13" s="68"/>
    </row>
    <row r="14" spans="1:98" ht="12.6" x14ac:dyDescent="0.25">
      <c r="A14" s="419" t="s">
        <v>104</v>
      </c>
      <c r="B14" s="287"/>
      <c r="C14" s="560">
        <f t="shared" ref="C14:I14" si="3">C15+C16+C17+C18</f>
        <v>474.6</v>
      </c>
      <c r="D14" s="560">
        <f t="shared" si="3"/>
        <v>464.1</v>
      </c>
      <c r="E14" s="560">
        <f t="shared" si="3"/>
        <v>608.30000000000007</v>
      </c>
      <c r="F14" s="560">
        <f t="shared" si="3"/>
        <v>690.3</v>
      </c>
      <c r="G14" s="560">
        <f t="shared" si="3"/>
        <v>451.40000000000003</v>
      </c>
      <c r="H14" s="560">
        <f t="shared" si="3"/>
        <v>531.6</v>
      </c>
      <c r="I14" s="560">
        <f t="shared" si="3"/>
        <v>559.6</v>
      </c>
      <c r="J14" s="560">
        <f t="shared" ref="J14:O14" si="4">J15+J16+J17+J18</f>
        <v>541.1</v>
      </c>
      <c r="K14" s="560">
        <f t="shared" si="4"/>
        <v>415.80000000000007</v>
      </c>
      <c r="L14" s="561">
        <f t="shared" si="4"/>
        <v>235.8</v>
      </c>
      <c r="M14" s="560">
        <f t="shared" si="4"/>
        <v>446.59999999999997</v>
      </c>
      <c r="N14" s="560">
        <f t="shared" si="4"/>
        <v>67.399999999999991</v>
      </c>
      <c r="O14" s="560">
        <f t="shared" si="4"/>
        <v>216.40000000000003</v>
      </c>
      <c r="P14" s="582">
        <f>O14-N14</f>
        <v>149.00000000000006</v>
      </c>
      <c r="Q14" s="695"/>
      <c r="R14" s="589">
        <f t="shared" si="2"/>
        <v>221.06824925816034</v>
      </c>
      <c r="S14" s="194"/>
      <c r="U14" s="195"/>
      <c r="AA14" s="68"/>
    </row>
    <row r="15" spans="1:98" x14ac:dyDescent="0.2">
      <c r="A15" s="421" t="s">
        <v>105</v>
      </c>
      <c r="B15" s="287"/>
      <c r="C15" s="560">
        <v>6.2</v>
      </c>
      <c r="D15" s="560">
        <v>0.3</v>
      </c>
      <c r="E15" s="560">
        <v>1.1000000000000001</v>
      </c>
      <c r="F15" s="560">
        <v>13.2</v>
      </c>
      <c r="G15" s="560">
        <v>9.6</v>
      </c>
      <c r="H15" s="560">
        <v>6.8</v>
      </c>
      <c r="I15" s="560">
        <v>7.4</v>
      </c>
      <c r="J15" s="560">
        <v>5.5</v>
      </c>
      <c r="K15" s="560">
        <v>4.3</v>
      </c>
      <c r="L15" s="561">
        <v>0.3</v>
      </c>
      <c r="M15" s="560">
        <v>0.7</v>
      </c>
      <c r="N15" s="563">
        <v>0.2</v>
      </c>
      <c r="O15" s="560">
        <v>0.4</v>
      </c>
      <c r="P15" s="582">
        <f>O15-N15</f>
        <v>0.2</v>
      </c>
      <c r="Q15" s="695"/>
      <c r="R15" s="589">
        <f t="shared" si="2"/>
        <v>100</v>
      </c>
      <c r="S15" s="195"/>
      <c r="U15" s="195"/>
      <c r="AA15" s="68"/>
    </row>
    <row r="16" spans="1:98" x14ac:dyDescent="0.2">
      <c r="A16" s="420" t="s">
        <v>106</v>
      </c>
      <c r="B16" s="287"/>
      <c r="C16" s="560">
        <v>364.2</v>
      </c>
      <c r="D16" s="560">
        <v>307.7</v>
      </c>
      <c r="E16" s="560">
        <v>429.6</v>
      </c>
      <c r="F16" s="560">
        <v>428.8</v>
      </c>
      <c r="G16" s="560">
        <v>322.5</v>
      </c>
      <c r="H16" s="560">
        <v>336.5</v>
      </c>
      <c r="I16" s="560">
        <v>422.6</v>
      </c>
      <c r="J16" s="560">
        <v>339.9</v>
      </c>
      <c r="K16" s="560">
        <v>327.10000000000002</v>
      </c>
      <c r="L16" s="561">
        <v>170.3</v>
      </c>
      <c r="M16" s="560">
        <v>297</v>
      </c>
      <c r="N16" s="563">
        <f>16.4+39.3</f>
        <v>55.699999999999996</v>
      </c>
      <c r="O16" s="560">
        <f>80.5+29.8</f>
        <v>110.3</v>
      </c>
      <c r="P16" s="582">
        <f>O16-N16</f>
        <v>54.6</v>
      </c>
      <c r="Q16" s="695"/>
      <c r="R16" s="589">
        <f t="shared" si="2"/>
        <v>98.025134649910243</v>
      </c>
      <c r="S16" s="195"/>
      <c r="U16" s="195"/>
      <c r="AA16" s="68"/>
    </row>
    <row r="17" spans="1:27" x14ac:dyDescent="0.2">
      <c r="A17" s="420" t="s">
        <v>107</v>
      </c>
      <c r="B17" s="287"/>
      <c r="C17" s="560">
        <v>72.099999999999994</v>
      </c>
      <c r="D17" s="560">
        <v>123.5</v>
      </c>
      <c r="E17" s="560">
        <v>132.6</v>
      </c>
      <c r="F17" s="560">
        <v>220.8</v>
      </c>
      <c r="G17" s="560">
        <v>88.3</v>
      </c>
      <c r="H17" s="560">
        <v>166.3</v>
      </c>
      <c r="I17" s="560">
        <v>118.5</v>
      </c>
      <c r="J17" s="560">
        <v>180.8</v>
      </c>
      <c r="K17" s="560">
        <v>72.8</v>
      </c>
      <c r="L17" s="561">
        <v>58.7</v>
      </c>
      <c r="M17" s="560">
        <v>139.1</v>
      </c>
      <c r="N17" s="563">
        <f>10.5+0.2</f>
        <v>10.7</v>
      </c>
      <c r="O17" s="560">
        <f>35.5+67.9</f>
        <v>103.4</v>
      </c>
      <c r="P17" s="582">
        <f>O17-N17</f>
        <v>92.7</v>
      </c>
      <c r="Q17" s="695"/>
      <c r="R17" s="589">
        <f t="shared" si="2"/>
        <v>866.35514018691606</v>
      </c>
      <c r="S17" s="195"/>
      <c r="U17" s="195"/>
      <c r="AA17" s="68"/>
    </row>
    <row r="18" spans="1:27" x14ac:dyDescent="0.2">
      <c r="A18" s="420" t="s">
        <v>108</v>
      </c>
      <c r="B18" s="287"/>
      <c r="C18" s="560">
        <v>32.1</v>
      </c>
      <c r="D18" s="560">
        <v>32.6</v>
      </c>
      <c r="E18" s="560">
        <v>45</v>
      </c>
      <c r="F18" s="560">
        <v>27.5</v>
      </c>
      <c r="G18" s="560">
        <v>31</v>
      </c>
      <c r="H18" s="560">
        <v>22</v>
      </c>
      <c r="I18" s="560">
        <v>11.1</v>
      </c>
      <c r="J18" s="560">
        <v>14.9</v>
      </c>
      <c r="K18" s="560">
        <v>11.6</v>
      </c>
      <c r="L18" s="561">
        <v>6.5</v>
      </c>
      <c r="M18" s="560">
        <v>9.8000000000000007</v>
      </c>
      <c r="N18" s="563">
        <v>0.8</v>
      </c>
      <c r="O18" s="560">
        <f>0.9+1.4</f>
        <v>2.2999999999999998</v>
      </c>
      <c r="P18" s="582">
        <f>O18-N18</f>
        <v>1.4999999999999998</v>
      </c>
      <c r="Q18" s="695"/>
      <c r="R18" s="589">
        <f t="shared" si="2"/>
        <v>187.49999999999994</v>
      </c>
      <c r="S18" s="195"/>
      <c r="U18" s="195"/>
      <c r="AA18" s="68"/>
    </row>
    <row r="19" spans="1:27" ht="6.75" customHeight="1" x14ac:dyDescent="0.2">
      <c r="A19" s="421" t="s">
        <v>60</v>
      </c>
      <c r="B19" s="287"/>
      <c r="C19" s="563"/>
      <c r="D19" s="563"/>
      <c r="E19" s="563"/>
      <c r="F19" s="563"/>
      <c r="G19" s="563"/>
      <c r="H19" s="563"/>
      <c r="I19" s="563"/>
      <c r="J19" s="563"/>
      <c r="K19" s="563"/>
      <c r="L19" s="564"/>
      <c r="M19" s="563"/>
      <c r="N19" s="563"/>
      <c r="O19" s="563"/>
      <c r="P19" s="582"/>
      <c r="Q19" s="695"/>
      <c r="R19" s="589"/>
      <c r="S19" s="196"/>
      <c r="U19" s="196"/>
      <c r="AA19" s="68"/>
    </row>
    <row r="20" spans="1:27" ht="12" customHeight="1" x14ac:dyDescent="0.25">
      <c r="A20" s="422" t="s">
        <v>309</v>
      </c>
      <c r="B20" s="287"/>
      <c r="C20" s="560">
        <v>605.80000000000007</v>
      </c>
      <c r="D20" s="560">
        <v>468.70000000000005</v>
      </c>
      <c r="E20" s="560">
        <v>487.19999999999993</v>
      </c>
      <c r="F20" s="560">
        <f>572.4-F15+F31-F17</f>
        <v>468.39999999999992</v>
      </c>
      <c r="G20" s="560">
        <f>378.3-G15+G31-G17</f>
        <v>281</v>
      </c>
      <c r="H20" s="560">
        <f>549.4-H15+H31-H17</f>
        <v>378.40000000000003</v>
      </c>
      <c r="I20" s="560">
        <f>514.2-I15+I31-I17</f>
        <v>416.6</v>
      </c>
      <c r="J20" s="560">
        <f>414.9-J15+J31-J17</f>
        <v>229.29999999999995</v>
      </c>
      <c r="K20" s="560">
        <f>309.9-K15+K31-K17</f>
        <v>232.79999999999995</v>
      </c>
      <c r="L20" s="561">
        <f>379.8+L31-L17-L15</f>
        <v>320.8</v>
      </c>
      <c r="M20" s="560">
        <f>452.2+M31-M17-M15</f>
        <v>312.90000000000003</v>
      </c>
      <c r="N20" s="560">
        <f>167+59.5+N31-N17-N15</f>
        <v>215.60000000000002</v>
      </c>
      <c r="O20" s="560">
        <f>104.8+117.6+O31-O17-O15</f>
        <v>147.19999999999996</v>
      </c>
      <c r="P20" s="582">
        <f t="shared" ref="P20:P33" si="5">O20-N20</f>
        <v>-68.400000000000063</v>
      </c>
      <c r="Q20" s="695"/>
      <c r="R20" s="589">
        <f t="shared" si="2"/>
        <v>-31.725417439703179</v>
      </c>
      <c r="S20" s="194"/>
      <c r="U20" s="195"/>
      <c r="AA20" s="68"/>
    </row>
    <row r="21" spans="1:27" ht="12" customHeight="1" x14ac:dyDescent="0.2">
      <c r="A21" s="421" t="s">
        <v>109</v>
      </c>
      <c r="B21" s="287"/>
      <c r="C21" s="563">
        <v>10.4</v>
      </c>
      <c r="D21" s="563">
        <v>6.5</v>
      </c>
      <c r="E21" s="563">
        <v>5.5</v>
      </c>
      <c r="F21" s="563">
        <v>5.4</v>
      </c>
      <c r="G21" s="563">
        <v>5</v>
      </c>
      <c r="H21" s="563">
        <v>2.9</v>
      </c>
      <c r="I21" s="563">
        <v>2.6</v>
      </c>
      <c r="J21" s="563">
        <v>4.0999999999999996</v>
      </c>
      <c r="K21" s="563">
        <v>1.8</v>
      </c>
      <c r="L21" s="564">
        <v>1</v>
      </c>
      <c r="M21" s="563">
        <v>0.5</v>
      </c>
      <c r="N21" s="563">
        <v>0.1</v>
      </c>
      <c r="O21" s="699">
        <v>0.1</v>
      </c>
      <c r="P21" s="582">
        <f t="shared" si="5"/>
        <v>0</v>
      </c>
      <c r="Q21" s="695"/>
      <c r="R21" s="589">
        <f t="shared" si="2"/>
        <v>0</v>
      </c>
      <c r="S21" s="196"/>
      <c r="U21" s="196"/>
      <c r="AA21" s="68"/>
    </row>
    <row r="22" spans="1:27" ht="12" customHeight="1" x14ac:dyDescent="0.2">
      <c r="A22" s="421" t="s">
        <v>110</v>
      </c>
      <c r="B22" s="287"/>
      <c r="C22" s="563">
        <v>0</v>
      </c>
      <c r="D22" s="563">
        <v>0</v>
      </c>
      <c r="E22" s="563">
        <v>61.4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4">
        <v>0</v>
      </c>
      <c r="M22" s="564">
        <v>0</v>
      </c>
      <c r="N22" s="564">
        <v>0</v>
      </c>
      <c r="O22" s="564">
        <v>0</v>
      </c>
      <c r="P22" s="582">
        <f t="shared" si="5"/>
        <v>0</v>
      </c>
      <c r="Q22" s="695"/>
      <c r="R22" s="590" t="s">
        <v>290</v>
      </c>
      <c r="S22" s="196"/>
      <c r="U22" s="196"/>
      <c r="AA22" s="68"/>
    </row>
    <row r="23" spans="1:27" ht="12" customHeight="1" x14ac:dyDescent="0.2">
      <c r="A23" s="421" t="s">
        <v>111</v>
      </c>
      <c r="B23" s="287"/>
      <c r="C23" s="563">
        <v>132.5</v>
      </c>
      <c r="D23" s="563">
        <v>123.5</v>
      </c>
      <c r="E23" s="563">
        <v>155.4</v>
      </c>
      <c r="F23" s="563">
        <v>31.6</v>
      </c>
      <c r="G23" s="563">
        <v>96.4</v>
      </c>
      <c r="H23" s="563">
        <v>155.5</v>
      </c>
      <c r="I23" s="563">
        <v>154.5</v>
      </c>
      <c r="J23" s="563">
        <v>0</v>
      </c>
      <c r="K23" s="563">
        <v>120</v>
      </c>
      <c r="L23" s="564">
        <v>220</v>
      </c>
      <c r="M23" s="563">
        <v>174.6</v>
      </c>
      <c r="N23" s="563">
        <f>120+43.8</f>
        <v>163.80000000000001</v>
      </c>
      <c r="O23" s="563">
        <v>40</v>
      </c>
      <c r="P23" s="582">
        <f t="shared" si="5"/>
        <v>-123.80000000000001</v>
      </c>
      <c r="Q23" s="695"/>
      <c r="R23" s="589">
        <f t="shared" si="2"/>
        <v>-75.579975579975581</v>
      </c>
      <c r="S23" s="196"/>
      <c r="U23" s="196"/>
      <c r="AA23" s="68"/>
    </row>
    <row r="24" spans="1:27" ht="12" customHeight="1" x14ac:dyDescent="0.2">
      <c r="A24" s="421" t="s">
        <v>112</v>
      </c>
      <c r="B24" s="287"/>
      <c r="C24" s="560">
        <v>19.2</v>
      </c>
      <c r="D24" s="560">
        <v>9.3000000000000007</v>
      </c>
      <c r="E24" s="560">
        <v>13.7</v>
      </c>
      <c r="F24" s="560">
        <v>15.2</v>
      </c>
      <c r="G24" s="560">
        <v>7.4</v>
      </c>
      <c r="H24" s="560">
        <v>14.7</v>
      </c>
      <c r="I24" s="560">
        <v>26.5</v>
      </c>
      <c r="J24" s="560">
        <v>26.1</v>
      </c>
      <c r="K24" s="560">
        <v>3.1</v>
      </c>
      <c r="L24" s="561">
        <v>0.4</v>
      </c>
      <c r="M24" s="560">
        <v>12.8</v>
      </c>
      <c r="N24" s="563">
        <f>4.6+0.5</f>
        <v>5.0999999999999996</v>
      </c>
      <c r="O24" s="560">
        <f>4.5+0.8</f>
        <v>5.3</v>
      </c>
      <c r="P24" s="582">
        <f t="shared" si="5"/>
        <v>0.20000000000000018</v>
      </c>
      <c r="Q24" s="695"/>
      <c r="R24" s="589">
        <f t="shared" si="2"/>
        <v>3.9215686274509838</v>
      </c>
      <c r="S24" s="195"/>
      <c r="U24" s="195"/>
      <c r="AA24" s="68"/>
    </row>
    <row r="25" spans="1:27" ht="12" customHeight="1" x14ac:dyDescent="0.2">
      <c r="A25" s="421" t="s">
        <v>113</v>
      </c>
      <c r="B25" s="287"/>
      <c r="C25" s="560">
        <v>88.7</v>
      </c>
      <c r="D25" s="560">
        <v>71.900000000000006</v>
      </c>
      <c r="E25" s="560">
        <v>82.2</v>
      </c>
      <c r="F25" s="560">
        <v>98.5</v>
      </c>
      <c r="G25" s="560">
        <v>61.1</v>
      </c>
      <c r="H25" s="560">
        <v>62.9</v>
      </c>
      <c r="I25" s="560">
        <v>57</v>
      </c>
      <c r="J25" s="560">
        <v>66.400000000000006</v>
      </c>
      <c r="K25" s="560">
        <v>38.6</v>
      </c>
      <c r="L25" s="561">
        <v>17.3</v>
      </c>
      <c r="M25" s="560">
        <v>45.2</v>
      </c>
      <c r="N25" s="563">
        <f>20.2+1.2</f>
        <v>21.4</v>
      </c>
      <c r="O25" s="560">
        <f>15.3+22.1</f>
        <v>37.400000000000006</v>
      </c>
      <c r="P25" s="582">
        <f t="shared" si="5"/>
        <v>16.000000000000007</v>
      </c>
      <c r="Q25" s="695"/>
      <c r="R25" s="589">
        <f t="shared" si="2"/>
        <v>74.76635514018696</v>
      </c>
      <c r="S25" s="195"/>
      <c r="U25" s="195"/>
      <c r="AA25" s="68"/>
    </row>
    <row r="26" spans="1:27" ht="12" customHeight="1" x14ac:dyDescent="0.2">
      <c r="A26" s="421" t="s">
        <v>114</v>
      </c>
      <c r="B26" s="287"/>
      <c r="C26" s="563">
        <v>2</v>
      </c>
      <c r="D26" s="563">
        <v>2</v>
      </c>
      <c r="E26" s="563">
        <v>1.1000000000000001</v>
      </c>
      <c r="F26" s="563">
        <v>1.7</v>
      </c>
      <c r="G26" s="563">
        <v>0.4</v>
      </c>
      <c r="H26" s="563">
        <v>0.3</v>
      </c>
      <c r="I26" s="563">
        <v>0.5</v>
      </c>
      <c r="J26" s="563">
        <v>0.7</v>
      </c>
      <c r="K26" s="563">
        <v>0.8</v>
      </c>
      <c r="L26" s="564">
        <v>0.4</v>
      </c>
      <c r="M26" s="563">
        <v>0.2</v>
      </c>
      <c r="N26" s="563">
        <v>0</v>
      </c>
      <c r="O26" s="563">
        <v>0.2</v>
      </c>
      <c r="P26" s="582">
        <f t="shared" si="5"/>
        <v>0.2</v>
      </c>
      <c r="Q26" s="695"/>
      <c r="R26" s="590" t="s">
        <v>290</v>
      </c>
      <c r="S26" s="196"/>
      <c r="U26" s="196"/>
      <c r="AA26" s="68"/>
    </row>
    <row r="27" spans="1:27" ht="12" customHeight="1" x14ac:dyDescent="0.2">
      <c r="A27" s="421" t="s">
        <v>115</v>
      </c>
      <c r="B27" s="287"/>
      <c r="C27" s="563">
        <v>3.8</v>
      </c>
      <c r="D27" s="563">
        <v>2.1</v>
      </c>
      <c r="E27" s="563">
        <v>2.4</v>
      </c>
      <c r="F27" s="563">
        <v>3.1</v>
      </c>
      <c r="G27" s="563">
        <v>3.1</v>
      </c>
      <c r="H27" s="563">
        <v>3.4</v>
      </c>
      <c r="I27" s="563">
        <v>4.5999999999999996</v>
      </c>
      <c r="J27" s="563">
        <v>4.5</v>
      </c>
      <c r="K27" s="563">
        <v>1.7</v>
      </c>
      <c r="L27" s="564">
        <v>0.5</v>
      </c>
      <c r="M27" s="563">
        <v>0.4</v>
      </c>
      <c r="N27" s="563">
        <v>0.1</v>
      </c>
      <c r="O27" s="563">
        <v>0.2</v>
      </c>
      <c r="P27" s="582">
        <f t="shared" si="5"/>
        <v>0.1</v>
      </c>
      <c r="Q27" s="695"/>
      <c r="R27" s="589">
        <f t="shared" si="2"/>
        <v>100</v>
      </c>
      <c r="S27" s="196"/>
      <c r="U27" s="196"/>
      <c r="AA27" s="68"/>
    </row>
    <row r="28" spans="1:27" ht="12" customHeight="1" x14ac:dyDescent="0.2">
      <c r="A28" s="421" t="s">
        <v>116</v>
      </c>
      <c r="B28" s="287"/>
      <c r="C28" s="563">
        <v>0</v>
      </c>
      <c r="D28" s="563">
        <v>12.4</v>
      </c>
      <c r="E28" s="563">
        <v>20.9</v>
      </c>
      <c r="F28" s="563">
        <v>2</v>
      </c>
      <c r="G28" s="563">
        <v>0</v>
      </c>
      <c r="H28" s="563">
        <v>0</v>
      </c>
      <c r="I28" s="563">
        <v>0</v>
      </c>
      <c r="J28" s="563">
        <v>0</v>
      </c>
      <c r="K28" s="563">
        <v>0</v>
      </c>
      <c r="L28" s="564">
        <v>0</v>
      </c>
      <c r="M28" s="564">
        <v>0</v>
      </c>
      <c r="N28" s="564">
        <v>0</v>
      </c>
      <c r="O28" s="564">
        <v>0</v>
      </c>
      <c r="P28" s="582">
        <f t="shared" si="5"/>
        <v>0</v>
      </c>
      <c r="Q28" s="695"/>
      <c r="R28" s="590" t="s">
        <v>290</v>
      </c>
      <c r="S28" s="196"/>
      <c r="U28" s="196"/>
      <c r="AA28" s="68"/>
    </row>
    <row r="29" spans="1:27" ht="12" customHeight="1" x14ac:dyDescent="0.2">
      <c r="A29" s="421" t="s">
        <v>117</v>
      </c>
      <c r="B29" s="287"/>
      <c r="C29" s="560">
        <v>90.9</v>
      </c>
      <c r="D29" s="560">
        <v>111.7</v>
      </c>
      <c r="E29" s="560">
        <v>97</v>
      </c>
      <c r="F29" s="560">
        <v>141</v>
      </c>
      <c r="G29" s="560">
        <v>91.6</v>
      </c>
      <c r="H29" s="560">
        <v>110.2</v>
      </c>
      <c r="I29" s="560">
        <v>116.4</v>
      </c>
      <c r="J29" s="560">
        <v>102.4</v>
      </c>
      <c r="K29" s="560">
        <v>60.1</v>
      </c>
      <c r="L29" s="561">
        <v>76.8</v>
      </c>
      <c r="M29" s="560">
        <v>73.7</v>
      </c>
      <c r="N29" s="563">
        <f>11.2+12.6</f>
        <v>23.799999999999997</v>
      </c>
      <c r="O29" s="560">
        <f>8.6+25.4</f>
        <v>34</v>
      </c>
      <c r="P29" s="582">
        <f t="shared" si="5"/>
        <v>10.200000000000003</v>
      </c>
      <c r="Q29" s="695"/>
      <c r="R29" s="589">
        <f t="shared" si="2"/>
        <v>42.857142857142875</v>
      </c>
      <c r="S29" s="195"/>
      <c r="U29" s="195"/>
      <c r="AA29" s="68"/>
    </row>
    <row r="30" spans="1:27" ht="12" customHeight="1" x14ac:dyDescent="0.2">
      <c r="A30" s="421" t="s">
        <v>118</v>
      </c>
      <c r="B30" s="287"/>
      <c r="C30" s="563">
        <v>7.5</v>
      </c>
      <c r="D30" s="563">
        <v>3.8</v>
      </c>
      <c r="E30" s="563">
        <v>3.3</v>
      </c>
      <c r="F30" s="563">
        <v>4.5</v>
      </c>
      <c r="G30" s="563">
        <v>2.7</v>
      </c>
      <c r="H30" s="563">
        <v>2.1</v>
      </c>
      <c r="I30" s="563">
        <v>3.5</v>
      </c>
      <c r="J30" s="563">
        <v>1.7</v>
      </c>
      <c r="K30" s="563">
        <v>0.5</v>
      </c>
      <c r="L30" s="564">
        <v>0</v>
      </c>
      <c r="M30" s="563">
        <v>0.1</v>
      </c>
      <c r="N30" s="699">
        <v>0.1</v>
      </c>
      <c r="O30" s="563">
        <v>0.2</v>
      </c>
      <c r="P30" s="582">
        <f t="shared" si="5"/>
        <v>0.1</v>
      </c>
      <c r="Q30" s="695"/>
      <c r="R30" s="589">
        <f t="shared" si="2"/>
        <v>100</v>
      </c>
      <c r="S30" s="196"/>
      <c r="U30" s="196"/>
      <c r="AA30" s="68"/>
    </row>
    <row r="31" spans="1:27" ht="12" customHeight="1" x14ac:dyDescent="0.2">
      <c r="A31" s="420" t="s">
        <v>119</v>
      </c>
      <c r="B31" s="287"/>
      <c r="C31" s="563">
        <v>219.5</v>
      </c>
      <c r="D31" s="563">
        <v>106.9</v>
      </c>
      <c r="E31" s="563">
        <v>22.4</v>
      </c>
      <c r="F31" s="563">
        <v>130</v>
      </c>
      <c r="G31" s="563">
        <v>0.6</v>
      </c>
      <c r="H31" s="563">
        <v>2.1</v>
      </c>
      <c r="I31" s="563">
        <v>28.3</v>
      </c>
      <c r="J31" s="563">
        <v>0.7</v>
      </c>
      <c r="K31" s="563">
        <v>0</v>
      </c>
      <c r="L31" s="564">
        <v>0</v>
      </c>
      <c r="M31" s="563">
        <v>0.5</v>
      </c>
      <c r="N31" s="560">
        <v>0</v>
      </c>
      <c r="O31" s="563">
        <f>0.4+28.2</f>
        <v>28.599999999999998</v>
      </c>
      <c r="P31" s="582">
        <f t="shared" si="5"/>
        <v>28.599999999999998</v>
      </c>
      <c r="Q31" s="695"/>
      <c r="R31" s="590" t="s">
        <v>290</v>
      </c>
      <c r="S31" s="196"/>
      <c r="U31" s="196"/>
      <c r="AA31" s="68"/>
    </row>
    <row r="32" spans="1:27" ht="12" customHeight="1" x14ac:dyDescent="0.2">
      <c r="A32" s="420" t="s">
        <v>492</v>
      </c>
      <c r="B32" s="287"/>
      <c r="C32" s="563">
        <v>6.3570000000000002</v>
      </c>
      <c r="D32" s="563">
        <v>3.8690000000000002</v>
      </c>
      <c r="E32" s="563">
        <v>5.5709999999999997</v>
      </c>
      <c r="F32" s="563">
        <v>8.3529999999999998</v>
      </c>
      <c r="G32" s="563">
        <v>2.508</v>
      </c>
      <c r="H32" s="563">
        <v>3.3319999999999999</v>
      </c>
      <c r="I32" s="563">
        <v>6.2670000000000003</v>
      </c>
      <c r="J32" s="563">
        <v>6.8490000000000002</v>
      </c>
      <c r="K32" s="563">
        <v>0.52600000000000002</v>
      </c>
      <c r="L32" s="564">
        <v>0.54900000000000004</v>
      </c>
      <c r="M32" s="563">
        <v>0.70599999999999996</v>
      </c>
      <c r="N32" s="560">
        <v>0.1</v>
      </c>
      <c r="O32" s="699" t="s">
        <v>475</v>
      </c>
      <c r="P32" s="582"/>
      <c r="Q32" s="695"/>
      <c r="R32" s="589">
        <f t="shared" si="2"/>
        <v>0</v>
      </c>
      <c r="S32" s="196"/>
      <c r="U32" s="196"/>
      <c r="AA32" s="68"/>
    </row>
    <row r="33" spans="1:27" ht="12" customHeight="1" x14ac:dyDescent="0.2">
      <c r="A33" s="421" t="s">
        <v>120</v>
      </c>
      <c r="B33" s="287"/>
      <c r="C33" s="567">
        <f t="shared" ref="C33:E33" si="6">C20-SUM(C21:C32)</f>
        <v>24.943000000000097</v>
      </c>
      <c r="D33" s="567">
        <f t="shared" si="6"/>
        <v>14.730999999999995</v>
      </c>
      <c r="E33" s="567">
        <f t="shared" si="6"/>
        <v>16.328999999999951</v>
      </c>
      <c r="F33" s="567">
        <f>F20-SUM(F21:F32)</f>
        <v>27.046999999999912</v>
      </c>
      <c r="G33" s="567">
        <f t="shared" ref="G33:M33" si="7">G20-SUM(G21:G32)</f>
        <v>10.192000000000007</v>
      </c>
      <c r="H33" s="567">
        <f t="shared" si="7"/>
        <v>20.967999999999961</v>
      </c>
      <c r="I33" s="567">
        <f t="shared" si="7"/>
        <v>16.432999999999993</v>
      </c>
      <c r="J33" s="567">
        <f t="shared" si="7"/>
        <v>15.850999999999971</v>
      </c>
      <c r="K33" s="567">
        <f t="shared" si="7"/>
        <v>5.6739999999999498</v>
      </c>
      <c r="L33" s="567">
        <f t="shared" si="7"/>
        <v>3.8509999999999991</v>
      </c>
      <c r="M33" s="567">
        <f t="shared" si="7"/>
        <v>4.19399999999996</v>
      </c>
      <c r="N33" s="567">
        <f>N20-SUM(N21:N31)</f>
        <v>1.2000000000000171</v>
      </c>
      <c r="O33" s="567">
        <f>O20-SUM(O21:O31)</f>
        <v>1.1999999999999318</v>
      </c>
      <c r="P33" s="582">
        <f t="shared" si="5"/>
        <v>-8.5265128291212022E-14</v>
      </c>
      <c r="Q33" s="695"/>
      <c r="R33" s="589">
        <f t="shared" si="2"/>
        <v>-7.1054273576009009E-12</v>
      </c>
      <c r="S33" s="197"/>
      <c r="U33" s="198"/>
    </row>
    <row r="34" spans="1:27" ht="6.75" customHeight="1" x14ac:dyDescent="0.2">
      <c r="A34" s="421" t="s">
        <v>1</v>
      </c>
      <c r="B34" s="287"/>
      <c r="C34" s="563"/>
      <c r="D34" s="563"/>
      <c r="E34" s="563"/>
      <c r="F34" s="563"/>
      <c r="G34" s="568"/>
      <c r="H34" s="568"/>
      <c r="I34" s="568"/>
      <c r="J34" s="568"/>
      <c r="K34" s="568"/>
      <c r="L34" s="569"/>
      <c r="M34" s="568"/>
      <c r="N34" s="568"/>
      <c r="O34" s="568"/>
      <c r="P34" s="582"/>
      <c r="Q34" s="695"/>
      <c r="R34" s="589"/>
      <c r="S34" s="199"/>
      <c r="U34" s="199"/>
      <c r="AA34" s="68"/>
    </row>
    <row r="35" spans="1:27" ht="12.6" x14ac:dyDescent="0.25">
      <c r="A35" s="419" t="s">
        <v>121</v>
      </c>
      <c r="B35" s="287"/>
      <c r="C35" s="560">
        <v>110.8</v>
      </c>
      <c r="D35" s="560">
        <v>128</v>
      </c>
      <c r="E35" s="560">
        <v>91.4</v>
      </c>
      <c r="F35" s="560">
        <v>147.9</v>
      </c>
      <c r="G35" s="560">
        <v>54.1</v>
      </c>
      <c r="H35" s="560">
        <v>61.7</v>
      </c>
      <c r="I35" s="560">
        <v>7.5</v>
      </c>
      <c r="J35" s="560">
        <v>10.1</v>
      </c>
      <c r="K35" s="560">
        <v>1.5</v>
      </c>
      <c r="L35" s="561">
        <v>1.1000000000000001</v>
      </c>
      <c r="M35" s="560">
        <v>34.9</v>
      </c>
      <c r="N35" s="563">
        <v>0.2</v>
      </c>
      <c r="O35" s="560">
        <v>0.1</v>
      </c>
      <c r="P35" s="582">
        <f t="shared" ref="P35:P45" si="8">O35-N35</f>
        <v>-0.1</v>
      </c>
      <c r="Q35" s="695"/>
      <c r="R35" s="589">
        <f t="shared" si="2"/>
        <v>-50</v>
      </c>
      <c r="S35" s="195"/>
      <c r="U35" s="195"/>
      <c r="AA35" s="68"/>
    </row>
    <row r="36" spans="1:27" x14ac:dyDescent="0.2">
      <c r="A36" s="421" t="s">
        <v>122</v>
      </c>
      <c r="B36" s="287"/>
      <c r="C36" s="563">
        <v>0</v>
      </c>
      <c r="D36" s="563">
        <v>0</v>
      </c>
      <c r="E36" s="563">
        <v>0</v>
      </c>
      <c r="F36" s="563">
        <v>3</v>
      </c>
      <c r="G36" s="563">
        <v>0</v>
      </c>
      <c r="H36" s="563">
        <v>0</v>
      </c>
      <c r="I36" s="563">
        <v>0</v>
      </c>
      <c r="J36" s="563">
        <v>0</v>
      </c>
      <c r="K36" s="563">
        <v>0</v>
      </c>
      <c r="L36" s="564">
        <v>0</v>
      </c>
      <c r="M36" s="564">
        <v>0</v>
      </c>
      <c r="N36" s="563">
        <v>0</v>
      </c>
      <c r="O36" s="563">
        <v>0</v>
      </c>
      <c r="P36" s="582">
        <f t="shared" si="8"/>
        <v>0</v>
      </c>
      <c r="Q36" s="695"/>
      <c r="R36" s="590" t="s">
        <v>290</v>
      </c>
      <c r="S36" s="196"/>
      <c r="U36" s="196"/>
      <c r="AA36" s="68"/>
    </row>
    <row r="37" spans="1:27" x14ac:dyDescent="0.2">
      <c r="A37" s="421" t="s">
        <v>123</v>
      </c>
      <c r="B37" s="287"/>
      <c r="C37" s="563">
        <v>41.7</v>
      </c>
      <c r="D37" s="563">
        <v>29.8</v>
      </c>
      <c r="E37" s="563">
        <v>0</v>
      </c>
      <c r="F37" s="563">
        <v>4.2</v>
      </c>
      <c r="G37" s="563">
        <v>6.8</v>
      </c>
      <c r="H37" s="563">
        <v>6.4</v>
      </c>
      <c r="I37" s="563">
        <v>3.6</v>
      </c>
      <c r="J37" s="563">
        <v>7.7</v>
      </c>
      <c r="K37" s="563">
        <v>0</v>
      </c>
      <c r="L37" s="564">
        <v>0</v>
      </c>
      <c r="M37" s="564">
        <v>0</v>
      </c>
      <c r="N37" s="563">
        <v>0</v>
      </c>
      <c r="O37" s="563">
        <v>0</v>
      </c>
      <c r="P37" s="582">
        <f t="shared" si="8"/>
        <v>0</v>
      </c>
      <c r="Q37" s="695"/>
      <c r="R37" s="590" t="s">
        <v>290</v>
      </c>
      <c r="S37" s="196"/>
      <c r="U37" s="196"/>
    </row>
    <row r="38" spans="1:27" x14ac:dyDescent="0.2">
      <c r="A38" s="421" t="s">
        <v>124</v>
      </c>
      <c r="B38" s="287"/>
      <c r="C38" s="563">
        <v>3.6</v>
      </c>
      <c r="D38" s="563">
        <v>4.0999999999999996</v>
      </c>
      <c r="E38" s="563">
        <v>3.1</v>
      </c>
      <c r="F38" s="563">
        <v>3.4</v>
      </c>
      <c r="G38" s="563">
        <v>1.3</v>
      </c>
      <c r="H38" s="563">
        <v>1.8</v>
      </c>
      <c r="I38" s="563">
        <v>0.6</v>
      </c>
      <c r="J38" s="563">
        <v>1</v>
      </c>
      <c r="K38" s="563">
        <v>0</v>
      </c>
      <c r="L38" s="564">
        <v>0</v>
      </c>
      <c r="M38" s="564">
        <v>0</v>
      </c>
      <c r="N38" s="563">
        <v>0</v>
      </c>
      <c r="O38" s="563">
        <v>0</v>
      </c>
      <c r="P38" s="582">
        <f t="shared" si="8"/>
        <v>0</v>
      </c>
      <c r="Q38" s="695"/>
      <c r="R38" s="590" t="s">
        <v>290</v>
      </c>
      <c r="S38" s="196"/>
      <c r="U38" s="196"/>
    </row>
    <row r="39" spans="1:27" x14ac:dyDescent="0.2">
      <c r="A39" s="421" t="s">
        <v>125</v>
      </c>
      <c r="B39" s="287"/>
      <c r="C39" s="560">
        <v>6.3</v>
      </c>
      <c r="D39" s="560">
        <v>0.5</v>
      </c>
      <c r="E39" s="563">
        <v>1.8</v>
      </c>
      <c r="F39" s="563">
        <v>4.4000000000000004</v>
      </c>
      <c r="G39" s="563">
        <v>7.7</v>
      </c>
      <c r="H39" s="563">
        <v>9.6</v>
      </c>
      <c r="I39" s="563">
        <v>3.2</v>
      </c>
      <c r="J39" s="563">
        <v>1.4</v>
      </c>
      <c r="K39" s="563">
        <v>1.3</v>
      </c>
      <c r="L39" s="564">
        <v>1</v>
      </c>
      <c r="M39" s="563">
        <v>0.1</v>
      </c>
      <c r="N39" s="563">
        <v>0.2</v>
      </c>
      <c r="O39" s="563">
        <v>0</v>
      </c>
      <c r="P39" s="582">
        <f t="shared" si="8"/>
        <v>-0.2</v>
      </c>
      <c r="Q39" s="695"/>
      <c r="R39" s="589">
        <f t="shared" si="2"/>
        <v>-100</v>
      </c>
      <c r="S39" s="196"/>
      <c r="U39" s="196"/>
    </row>
    <row r="40" spans="1:27" ht="12" customHeight="1" x14ac:dyDescent="0.2">
      <c r="A40" s="421" t="s">
        <v>126</v>
      </c>
      <c r="B40" s="287"/>
      <c r="C40" s="563">
        <v>47.8</v>
      </c>
      <c r="D40" s="563">
        <v>93.2</v>
      </c>
      <c r="E40" s="563">
        <v>86.2</v>
      </c>
      <c r="F40" s="563">
        <v>85.1</v>
      </c>
      <c r="G40" s="563">
        <v>38.1</v>
      </c>
      <c r="H40" s="563">
        <v>43.9</v>
      </c>
      <c r="I40" s="563">
        <v>0</v>
      </c>
      <c r="J40" s="563">
        <v>0</v>
      </c>
      <c r="K40" s="563">
        <v>0</v>
      </c>
      <c r="L40" s="564">
        <v>0</v>
      </c>
      <c r="M40" s="564">
        <v>0</v>
      </c>
      <c r="N40" s="563">
        <v>0</v>
      </c>
      <c r="O40" s="563">
        <v>0</v>
      </c>
      <c r="P40" s="582">
        <f t="shared" si="8"/>
        <v>0</v>
      </c>
      <c r="Q40" s="695"/>
      <c r="R40" s="590" t="s">
        <v>290</v>
      </c>
      <c r="S40" s="196"/>
      <c r="U40" s="196"/>
    </row>
    <row r="41" spans="1:27" ht="12" customHeight="1" x14ac:dyDescent="0.2">
      <c r="A41" s="421" t="s">
        <v>127</v>
      </c>
      <c r="B41" s="287"/>
      <c r="C41" s="563">
        <v>0</v>
      </c>
      <c r="D41" s="563">
        <v>0</v>
      </c>
      <c r="E41" s="563">
        <v>0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0</v>
      </c>
      <c r="L41" s="564">
        <v>0</v>
      </c>
      <c r="M41" s="564">
        <v>0</v>
      </c>
      <c r="N41" s="563">
        <v>0</v>
      </c>
      <c r="O41" s="563">
        <v>0</v>
      </c>
      <c r="P41" s="582">
        <f t="shared" si="8"/>
        <v>0</v>
      </c>
      <c r="Q41" s="695"/>
      <c r="R41" s="590" t="s">
        <v>290</v>
      </c>
      <c r="S41" s="196"/>
      <c r="U41" s="196"/>
      <c r="AA41" s="68"/>
    </row>
    <row r="42" spans="1:27" ht="12" customHeight="1" x14ac:dyDescent="0.2">
      <c r="A42" s="421" t="s">
        <v>128</v>
      </c>
      <c r="B42" s="287"/>
      <c r="C42" s="563">
        <v>0</v>
      </c>
      <c r="D42" s="563">
        <v>0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4">
        <v>0</v>
      </c>
      <c r="M42" s="563">
        <v>34.6</v>
      </c>
      <c r="N42" s="563">
        <v>0</v>
      </c>
      <c r="O42" s="563">
        <v>0</v>
      </c>
      <c r="P42" s="582">
        <f t="shared" si="8"/>
        <v>0</v>
      </c>
      <c r="Q42" s="695"/>
      <c r="R42" s="590" t="s">
        <v>290</v>
      </c>
      <c r="S42" s="196"/>
      <c r="U42" s="196"/>
      <c r="AA42" s="68"/>
    </row>
    <row r="43" spans="1:27" x14ac:dyDescent="0.2">
      <c r="A43" s="421" t="s">
        <v>129</v>
      </c>
      <c r="B43" s="287"/>
      <c r="C43" s="563">
        <v>0.8</v>
      </c>
      <c r="D43" s="563">
        <v>0.1</v>
      </c>
      <c r="E43" s="563">
        <v>0.2</v>
      </c>
      <c r="F43" s="563">
        <v>0.2</v>
      </c>
      <c r="G43" s="563">
        <v>0.2</v>
      </c>
      <c r="H43" s="563">
        <v>0.1</v>
      </c>
      <c r="I43" s="563">
        <v>0</v>
      </c>
      <c r="J43" s="563">
        <v>0</v>
      </c>
      <c r="K43" s="563">
        <v>0</v>
      </c>
      <c r="L43" s="564">
        <v>0</v>
      </c>
      <c r="M43" s="564">
        <v>0</v>
      </c>
      <c r="N43" s="563">
        <v>0</v>
      </c>
      <c r="O43" s="563">
        <v>0</v>
      </c>
      <c r="P43" s="582">
        <f t="shared" si="8"/>
        <v>0</v>
      </c>
      <c r="Q43" s="695"/>
      <c r="R43" s="590" t="s">
        <v>290</v>
      </c>
      <c r="S43" s="196"/>
      <c r="U43" s="196"/>
      <c r="AA43" s="68"/>
    </row>
    <row r="44" spans="1:27" x14ac:dyDescent="0.2">
      <c r="A44" s="421" t="s">
        <v>130</v>
      </c>
      <c r="B44" s="287"/>
      <c r="C44" s="563">
        <v>0</v>
      </c>
      <c r="D44" s="563">
        <v>0</v>
      </c>
      <c r="E44" s="563">
        <v>0</v>
      </c>
      <c r="F44" s="563">
        <v>0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4">
        <v>0</v>
      </c>
      <c r="M44" s="564">
        <v>0</v>
      </c>
      <c r="N44" s="563">
        <v>0</v>
      </c>
      <c r="O44" s="563">
        <v>0</v>
      </c>
      <c r="P44" s="582">
        <f t="shared" si="8"/>
        <v>0</v>
      </c>
      <c r="Q44" s="695"/>
      <c r="R44" s="590" t="s">
        <v>290</v>
      </c>
      <c r="S44" s="196"/>
      <c r="U44" s="196"/>
      <c r="AA44" s="68"/>
    </row>
    <row r="45" spans="1:27" x14ac:dyDescent="0.2">
      <c r="A45" s="421" t="s">
        <v>131</v>
      </c>
      <c r="B45" s="287"/>
      <c r="C45" s="566">
        <v>10.599999999999994</v>
      </c>
      <c r="D45" s="566">
        <v>0.40000000000001135</v>
      </c>
      <c r="E45" s="566">
        <v>9.9999999999994316E-2</v>
      </c>
      <c r="F45" s="566">
        <f>F35-SUM(F36:F44)</f>
        <v>47.600000000000009</v>
      </c>
      <c r="G45" s="567">
        <f>G35-SUM(G36:G44)</f>
        <v>0</v>
      </c>
      <c r="H45" s="567">
        <v>0</v>
      </c>
      <c r="I45" s="563">
        <v>0</v>
      </c>
      <c r="J45" s="563">
        <v>0</v>
      </c>
      <c r="K45" s="563">
        <v>0.2</v>
      </c>
      <c r="L45" s="564">
        <v>0.10000000000000009</v>
      </c>
      <c r="M45" s="563">
        <v>0.19999999999999574</v>
      </c>
      <c r="N45" s="563">
        <v>0</v>
      </c>
      <c r="O45" s="563">
        <v>0.1</v>
      </c>
      <c r="P45" s="582">
        <f t="shared" si="8"/>
        <v>0.1</v>
      </c>
      <c r="Q45" s="695"/>
      <c r="R45" s="590" t="s">
        <v>290</v>
      </c>
      <c r="S45" s="196"/>
      <c r="U45" s="198"/>
      <c r="AA45" s="68"/>
    </row>
    <row r="46" spans="1:27" ht="6.75" customHeight="1" x14ac:dyDescent="0.2">
      <c r="A46" s="421"/>
      <c r="B46" s="287"/>
      <c r="C46" s="563"/>
      <c r="D46" s="563"/>
      <c r="E46" s="563"/>
      <c r="F46" s="563"/>
      <c r="G46" s="563"/>
      <c r="H46" s="563"/>
      <c r="I46" s="563"/>
      <c r="J46" s="563"/>
      <c r="K46" s="563"/>
      <c r="L46" s="564"/>
      <c r="M46" s="563"/>
      <c r="N46" s="563"/>
      <c r="O46" s="563"/>
      <c r="P46" s="582"/>
      <c r="Q46" s="695"/>
      <c r="R46" s="589"/>
      <c r="S46" s="196"/>
      <c r="U46" s="196"/>
      <c r="AA46" s="68"/>
    </row>
    <row r="47" spans="1:27" ht="12" customHeight="1" x14ac:dyDescent="0.25">
      <c r="A47" s="419" t="s">
        <v>91</v>
      </c>
      <c r="B47" s="287"/>
      <c r="C47" s="560">
        <v>1811.2</v>
      </c>
      <c r="D47" s="560">
        <v>2176</v>
      </c>
      <c r="E47" s="560">
        <v>2150.6</v>
      </c>
      <c r="F47" s="560">
        <v>2198.1</v>
      </c>
      <c r="G47" s="560">
        <v>2003.4</v>
      </c>
      <c r="H47" s="560">
        <v>2066.9</v>
      </c>
      <c r="I47" s="566">
        <v>2117.4</v>
      </c>
      <c r="J47" s="566">
        <v>2388.5</v>
      </c>
      <c r="K47" s="566">
        <v>2062</v>
      </c>
      <c r="L47" s="566">
        <v>1259.5</v>
      </c>
      <c r="M47" s="566">
        <v>2496.6999999999998</v>
      </c>
      <c r="N47" s="563">
        <f>328.8+211.2</f>
        <v>540</v>
      </c>
      <c r="O47" s="566">
        <f>340.2+309.2</f>
        <v>649.4</v>
      </c>
      <c r="P47" s="582">
        <f t="shared" ref="P47:P65" si="9">O47-N47</f>
        <v>109.39999999999998</v>
      </c>
      <c r="Q47" s="695"/>
      <c r="R47" s="589">
        <f t="shared" si="2"/>
        <v>20.259259259259256</v>
      </c>
      <c r="S47" s="200"/>
      <c r="U47" s="201"/>
      <c r="AA47" s="68"/>
    </row>
    <row r="48" spans="1:27" ht="12" customHeight="1" x14ac:dyDescent="0.2">
      <c r="A48" s="421" t="s">
        <v>132</v>
      </c>
      <c r="B48" s="287"/>
      <c r="C48" s="563">
        <v>6</v>
      </c>
      <c r="D48" s="563">
        <v>6.1</v>
      </c>
      <c r="E48" s="563">
        <v>4.9000000000000004</v>
      </c>
      <c r="F48" s="563">
        <v>4</v>
      </c>
      <c r="G48" s="563">
        <v>4.5</v>
      </c>
      <c r="H48" s="563">
        <v>4.9000000000000004</v>
      </c>
      <c r="I48" s="563">
        <v>5.5</v>
      </c>
      <c r="J48" s="563">
        <v>4.5</v>
      </c>
      <c r="K48" s="563">
        <v>5</v>
      </c>
      <c r="L48" s="564">
        <v>4.8</v>
      </c>
      <c r="M48" s="563">
        <v>5.0999999999999996</v>
      </c>
      <c r="N48" s="563">
        <v>1.2</v>
      </c>
      <c r="O48" s="563">
        <v>1</v>
      </c>
      <c r="P48" s="582">
        <f t="shared" si="9"/>
        <v>-0.19999999999999996</v>
      </c>
      <c r="Q48" s="695"/>
      <c r="R48" s="589">
        <f t="shared" si="2"/>
        <v>-16.666666666666664</v>
      </c>
      <c r="S48" s="196"/>
      <c r="U48" s="196"/>
      <c r="AA48" s="68"/>
    </row>
    <row r="49" spans="1:30" ht="12" customHeight="1" x14ac:dyDescent="0.2">
      <c r="A49" s="421" t="s">
        <v>133</v>
      </c>
      <c r="B49" s="287"/>
      <c r="C49" s="563">
        <v>0.1</v>
      </c>
      <c r="D49" s="563">
        <v>0.1</v>
      </c>
      <c r="E49" s="563">
        <v>0</v>
      </c>
      <c r="F49" s="563">
        <v>0</v>
      </c>
      <c r="G49" s="563">
        <v>0</v>
      </c>
      <c r="H49" s="563">
        <v>0</v>
      </c>
      <c r="I49" s="563">
        <v>0</v>
      </c>
      <c r="J49" s="563">
        <v>120.2</v>
      </c>
      <c r="K49" s="563">
        <v>0</v>
      </c>
      <c r="L49" s="564">
        <v>0</v>
      </c>
      <c r="M49" s="564">
        <v>0</v>
      </c>
      <c r="N49" s="564">
        <v>0</v>
      </c>
      <c r="O49" s="564">
        <v>0</v>
      </c>
      <c r="P49" s="582">
        <f t="shared" si="9"/>
        <v>0</v>
      </c>
      <c r="Q49" s="695"/>
      <c r="R49" s="590" t="s">
        <v>290</v>
      </c>
      <c r="S49" s="196"/>
      <c r="U49" s="196"/>
      <c r="AA49" s="68"/>
    </row>
    <row r="50" spans="1:30" ht="12" customHeight="1" x14ac:dyDescent="0.2">
      <c r="A50" s="421" t="s">
        <v>134</v>
      </c>
      <c r="B50" s="287"/>
      <c r="C50" s="560">
        <v>138.6</v>
      </c>
      <c r="D50" s="560">
        <v>139.30000000000001</v>
      </c>
      <c r="E50" s="560">
        <v>151.1</v>
      </c>
      <c r="F50" s="560">
        <v>125.1</v>
      </c>
      <c r="G50" s="563">
        <v>122.9</v>
      </c>
      <c r="H50" s="563">
        <v>137.6</v>
      </c>
      <c r="I50" s="563">
        <v>150.9</v>
      </c>
      <c r="J50" s="563">
        <v>138.19999999999999</v>
      </c>
      <c r="K50" s="563">
        <v>142.9</v>
      </c>
      <c r="L50" s="564">
        <v>112.8</v>
      </c>
      <c r="M50" s="563">
        <v>125.3</v>
      </c>
      <c r="N50" s="563">
        <f>36.5+18.5</f>
        <v>55</v>
      </c>
      <c r="O50" s="563">
        <f>48+20.5</f>
        <v>68.5</v>
      </c>
      <c r="P50" s="582">
        <f t="shared" si="9"/>
        <v>13.5</v>
      </c>
      <c r="Q50" s="695"/>
      <c r="R50" s="589">
        <f t="shared" si="2"/>
        <v>24.545454545454547</v>
      </c>
      <c r="S50" s="196"/>
      <c r="U50" s="196"/>
      <c r="AA50" s="68"/>
    </row>
    <row r="51" spans="1:30" ht="12" customHeight="1" x14ac:dyDescent="0.2">
      <c r="A51" s="421" t="s">
        <v>135</v>
      </c>
      <c r="B51" s="287"/>
      <c r="C51" s="560">
        <v>138.9</v>
      </c>
      <c r="D51" s="560">
        <v>285.3</v>
      </c>
      <c r="E51" s="560">
        <v>159.19999999999999</v>
      </c>
      <c r="F51" s="560">
        <v>104.5</v>
      </c>
      <c r="G51" s="563">
        <v>144.4</v>
      </c>
      <c r="H51" s="563">
        <v>150.5</v>
      </c>
      <c r="I51" s="563">
        <v>176.7</v>
      </c>
      <c r="J51" s="563">
        <v>54.4</v>
      </c>
      <c r="K51" s="563">
        <v>140.69999999999999</v>
      </c>
      <c r="L51" s="564">
        <v>169.5</v>
      </c>
      <c r="M51" s="563">
        <v>167.8</v>
      </c>
      <c r="N51" s="563">
        <v>0.2</v>
      </c>
      <c r="O51" s="563">
        <v>24.7</v>
      </c>
      <c r="P51" s="582">
        <f t="shared" si="9"/>
        <v>24.5</v>
      </c>
      <c r="Q51" s="695"/>
      <c r="R51" s="590" t="s">
        <v>290</v>
      </c>
      <c r="S51" s="196"/>
      <c r="U51" s="196"/>
      <c r="AA51" s="68"/>
    </row>
    <row r="52" spans="1:30" ht="12" customHeight="1" x14ac:dyDescent="0.2">
      <c r="A52" s="421" t="s">
        <v>136</v>
      </c>
      <c r="B52" s="287"/>
      <c r="C52" s="560">
        <v>63.1</v>
      </c>
      <c r="D52" s="560">
        <v>91.3</v>
      </c>
      <c r="E52" s="560">
        <v>79.400000000000006</v>
      </c>
      <c r="F52" s="560">
        <v>58.8</v>
      </c>
      <c r="G52" s="563">
        <v>66.900000000000006</v>
      </c>
      <c r="H52" s="563">
        <v>76.599999999999994</v>
      </c>
      <c r="I52" s="563">
        <v>47.8</v>
      </c>
      <c r="J52" s="563">
        <v>84.8</v>
      </c>
      <c r="K52" s="563">
        <v>73.2</v>
      </c>
      <c r="L52" s="564">
        <v>0.2</v>
      </c>
      <c r="M52" s="563">
        <v>9.1999999999999993</v>
      </c>
      <c r="N52" s="713" t="s">
        <v>475</v>
      </c>
      <c r="O52" s="563">
        <v>18</v>
      </c>
      <c r="P52" s="582">
        <f t="shared" si="9"/>
        <v>18</v>
      </c>
      <c r="Q52" s="695"/>
      <c r="R52" s="590" t="s">
        <v>290</v>
      </c>
      <c r="S52" s="196"/>
      <c r="U52" s="196"/>
      <c r="AA52" s="68"/>
    </row>
    <row r="53" spans="1:30" ht="12" customHeight="1" x14ac:dyDescent="0.2">
      <c r="A53" s="421" t="s">
        <v>137</v>
      </c>
      <c r="B53" s="287"/>
      <c r="C53" s="563">
        <v>7.9</v>
      </c>
      <c r="D53" s="563">
        <v>6.5</v>
      </c>
      <c r="E53" s="563">
        <v>15</v>
      </c>
      <c r="F53" s="563">
        <v>36.6</v>
      </c>
      <c r="G53" s="563">
        <v>15.5</v>
      </c>
      <c r="H53" s="563">
        <v>20.9</v>
      </c>
      <c r="I53" s="563">
        <v>33.5</v>
      </c>
      <c r="J53" s="563">
        <v>41.7</v>
      </c>
      <c r="K53" s="563">
        <v>19.899999999999999</v>
      </c>
      <c r="L53" s="564">
        <v>16.8</v>
      </c>
      <c r="M53" s="563">
        <v>59.6</v>
      </c>
      <c r="N53" s="699" t="s">
        <v>475</v>
      </c>
      <c r="O53" s="563">
        <f>4.5+8.1</f>
        <v>12.6</v>
      </c>
      <c r="P53" s="582">
        <f t="shared" si="9"/>
        <v>12.6</v>
      </c>
      <c r="Q53" s="695"/>
      <c r="R53" s="590" t="s">
        <v>290</v>
      </c>
      <c r="S53" s="196"/>
      <c r="U53" s="196"/>
      <c r="AA53" s="68"/>
    </row>
    <row r="54" spans="1:30" ht="12" customHeight="1" x14ac:dyDescent="0.2">
      <c r="A54" s="421" t="s">
        <v>138</v>
      </c>
      <c r="B54" s="287"/>
      <c r="C54" s="560">
        <v>70.099999999999994</v>
      </c>
      <c r="D54" s="560">
        <v>76.400000000000006</v>
      </c>
      <c r="E54" s="560">
        <v>89.6</v>
      </c>
      <c r="F54" s="560">
        <v>67.400000000000006</v>
      </c>
      <c r="G54" s="563">
        <v>71.099999999999994</v>
      </c>
      <c r="H54" s="563">
        <v>70.099999999999994</v>
      </c>
      <c r="I54" s="563">
        <v>80.8</v>
      </c>
      <c r="J54" s="563">
        <v>59.5</v>
      </c>
      <c r="K54" s="563">
        <v>73.900000000000006</v>
      </c>
      <c r="L54" s="564">
        <v>35.1</v>
      </c>
      <c r="M54" s="563">
        <v>71.3</v>
      </c>
      <c r="N54" s="563">
        <f>18.9+6.5</f>
        <v>25.4</v>
      </c>
      <c r="O54" s="563">
        <f>31.2+9.6</f>
        <v>40.799999999999997</v>
      </c>
      <c r="P54" s="582">
        <f t="shared" si="9"/>
        <v>15.399999999999999</v>
      </c>
      <c r="Q54" s="695"/>
      <c r="R54" s="589">
        <f t="shared" si="2"/>
        <v>60.629921259842526</v>
      </c>
      <c r="S54" s="196"/>
      <c r="U54" s="196"/>
      <c r="AA54" s="68"/>
    </row>
    <row r="55" spans="1:30" ht="12" customHeight="1" x14ac:dyDescent="0.2">
      <c r="A55" s="421" t="s">
        <v>139</v>
      </c>
      <c r="B55" s="287"/>
      <c r="C55" s="560">
        <v>81.5</v>
      </c>
      <c r="D55" s="560">
        <v>75.3</v>
      </c>
      <c r="E55" s="560">
        <v>113.1</v>
      </c>
      <c r="F55" s="560">
        <v>118.6</v>
      </c>
      <c r="G55" s="563">
        <v>105.4</v>
      </c>
      <c r="H55" s="563">
        <v>103</v>
      </c>
      <c r="I55" s="563">
        <v>99.5</v>
      </c>
      <c r="J55" s="563">
        <v>80.2</v>
      </c>
      <c r="K55" s="563">
        <v>131.80000000000001</v>
      </c>
      <c r="L55" s="564">
        <v>82.1</v>
      </c>
      <c r="M55" s="563">
        <v>94</v>
      </c>
      <c r="N55" s="563">
        <f>24.3+11</f>
        <v>35.299999999999997</v>
      </c>
      <c r="O55" s="563">
        <f>55.8+15.6</f>
        <v>71.399999999999991</v>
      </c>
      <c r="P55" s="582">
        <f t="shared" si="9"/>
        <v>36.099999999999994</v>
      </c>
      <c r="Q55" s="695"/>
      <c r="R55" s="589">
        <f t="shared" si="2"/>
        <v>102.26628895184136</v>
      </c>
      <c r="S55" s="196"/>
      <c r="U55" s="196"/>
      <c r="AA55" s="68"/>
    </row>
    <row r="56" spans="1:30" ht="12" customHeight="1" x14ac:dyDescent="0.2">
      <c r="A56" s="421" t="s">
        <v>140</v>
      </c>
      <c r="B56" s="287"/>
      <c r="C56" s="560">
        <v>323.89999999999998</v>
      </c>
      <c r="D56" s="560">
        <v>362.1</v>
      </c>
      <c r="E56" s="560">
        <v>403</v>
      </c>
      <c r="F56" s="560">
        <v>423.7</v>
      </c>
      <c r="G56" s="563">
        <v>421</v>
      </c>
      <c r="H56" s="563">
        <v>418.3</v>
      </c>
      <c r="I56" s="563">
        <v>462.1</v>
      </c>
      <c r="J56" s="563">
        <v>419.3</v>
      </c>
      <c r="K56" s="563">
        <v>462.4</v>
      </c>
      <c r="L56" s="564">
        <v>324.7</v>
      </c>
      <c r="M56" s="563">
        <v>360.4</v>
      </c>
      <c r="N56" s="563">
        <f>15.2+58.4</f>
        <v>73.599999999999994</v>
      </c>
      <c r="O56" s="563">
        <f>39.2+49.7</f>
        <v>88.9</v>
      </c>
      <c r="P56" s="582">
        <f t="shared" si="9"/>
        <v>15.300000000000011</v>
      </c>
      <c r="Q56" s="695"/>
      <c r="R56" s="589">
        <f t="shared" si="2"/>
        <v>20.788043478260889</v>
      </c>
      <c r="S56" s="196"/>
      <c r="U56" s="196"/>
      <c r="AA56" s="68"/>
    </row>
    <row r="57" spans="1:30" ht="12" customHeight="1" x14ac:dyDescent="0.2">
      <c r="A57" s="421" t="s">
        <v>141</v>
      </c>
      <c r="B57" s="287"/>
      <c r="C57" s="560">
        <v>142.4</v>
      </c>
      <c r="D57" s="560">
        <v>132</v>
      </c>
      <c r="E57" s="560">
        <v>151.80000000000001</v>
      </c>
      <c r="F57" s="560">
        <v>152.19999999999999</v>
      </c>
      <c r="G57" s="563">
        <v>161.5</v>
      </c>
      <c r="H57" s="563">
        <v>160.1</v>
      </c>
      <c r="I57" s="563">
        <v>197.3</v>
      </c>
      <c r="J57" s="563">
        <v>156.80000000000001</v>
      </c>
      <c r="K57" s="563">
        <v>156.1</v>
      </c>
      <c r="L57" s="564">
        <v>159.69999999999999</v>
      </c>
      <c r="M57" s="563">
        <v>202.3</v>
      </c>
      <c r="N57" s="563">
        <f>56.9+4.9</f>
        <v>61.8</v>
      </c>
      <c r="O57" s="563">
        <f>77.2+29.2</f>
        <v>106.4</v>
      </c>
      <c r="P57" s="582">
        <f t="shared" si="9"/>
        <v>44.600000000000009</v>
      </c>
      <c r="Q57" s="695"/>
      <c r="R57" s="589">
        <f t="shared" si="2"/>
        <v>72.168284789644034</v>
      </c>
      <c r="S57" s="196"/>
      <c r="U57" s="196"/>
      <c r="AA57" s="68"/>
    </row>
    <row r="58" spans="1:30" ht="12" customHeight="1" x14ac:dyDescent="0.2">
      <c r="A58" s="421" t="s">
        <v>142</v>
      </c>
      <c r="B58" s="287"/>
      <c r="C58" s="563">
        <v>1.2</v>
      </c>
      <c r="D58" s="563">
        <v>1.2</v>
      </c>
      <c r="E58" s="563">
        <v>1.2</v>
      </c>
      <c r="F58" s="563">
        <v>0.04</v>
      </c>
      <c r="G58" s="563">
        <v>0.7</v>
      </c>
      <c r="H58" s="563">
        <v>0.5</v>
      </c>
      <c r="I58" s="563">
        <v>0.4</v>
      </c>
      <c r="J58" s="563">
        <v>0.5</v>
      </c>
      <c r="K58" s="563">
        <v>0.4</v>
      </c>
      <c r="L58" s="564">
        <v>0.4</v>
      </c>
      <c r="M58" s="563">
        <v>0.3</v>
      </c>
      <c r="N58" s="563">
        <v>0.1</v>
      </c>
      <c r="O58" s="563">
        <v>0.1</v>
      </c>
      <c r="P58" s="582">
        <f t="shared" si="9"/>
        <v>0</v>
      </c>
      <c r="Q58" s="695"/>
      <c r="R58" s="589">
        <f t="shared" si="2"/>
        <v>0</v>
      </c>
      <c r="S58" s="196"/>
      <c r="U58" s="196"/>
      <c r="AA58" s="68"/>
    </row>
    <row r="59" spans="1:30" ht="12" customHeight="1" x14ac:dyDescent="0.2">
      <c r="A59" s="421" t="s">
        <v>143</v>
      </c>
      <c r="B59" s="287"/>
      <c r="C59" s="563">
        <v>1.6</v>
      </c>
      <c r="D59" s="563">
        <v>0.5</v>
      </c>
      <c r="E59" s="563">
        <v>0.7</v>
      </c>
      <c r="F59" s="563">
        <v>0.7</v>
      </c>
      <c r="G59" s="563">
        <v>0.8</v>
      </c>
      <c r="H59" s="563">
        <v>0.9</v>
      </c>
      <c r="I59" s="563">
        <v>0.9</v>
      </c>
      <c r="J59" s="563">
        <v>0.7</v>
      </c>
      <c r="K59" s="563">
        <v>0.7</v>
      </c>
      <c r="L59" s="564">
        <v>0.5</v>
      </c>
      <c r="M59" s="563">
        <v>0.6</v>
      </c>
      <c r="N59" s="563">
        <v>0.2</v>
      </c>
      <c r="O59" s="563">
        <v>0.3</v>
      </c>
      <c r="P59" s="582">
        <f t="shared" si="9"/>
        <v>9.9999999999999978E-2</v>
      </c>
      <c r="Q59" s="695"/>
      <c r="R59" s="589">
        <f t="shared" si="2"/>
        <v>49.999999999999986</v>
      </c>
      <c r="S59" s="196"/>
      <c r="U59" s="196"/>
      <c r="AA59" s="68"/>
    </row>
    <row r="60" spans="1:30" ht="12" customHeight="1" x14ac:dyDescent="0.2">
      <c r="A60" s="421" t="s">
        <v>144</v>
      </c>
      <c r="B60" s="287"/>
      <c r="C60" s="560">
        <v>690.7</v>
      </c>
      <c r="D60" s="560">
        <v>716.7</v>
      </c>
      <c r="E60" s="560">
        <v>618.70000000000005</v>
      </c>
      <c r="F60" s="560">
        <v>709.3</v>
      </c>
      <c r="G60" s="563">
        <v>695.9</v>
      </c>
      <c r="H60" s="563">
        <v>759.1</v>
      </c>
      <c r="I60" s="563">
        <v>698.3</v>
      </c>
      <c r="J60" s="563">
        <v>816.3</v>
      </c>
      <c r="K60" s="563">
        <v>676.6</v>
      </c>
      <c r="L60" s="564">
        <v>214.6</v>
      </c>
      <c r="M60" s="563">
        <v>932.9</v>
      </c>
      <c r="N60" s="563">
        <f>126.6+95.1</f>
        <v>221.7</v>
      </c>
      <c r="O60" s="563">
        <f>60.9+114.8</f>
        <v>175.7</v>
      </c>
      <c r="P60" s="582">
        <f t="shared" si="9"/>
        <v>-46</v>
      </c>
      <c r="Q60" s="695"/>
      <c r="R60" s="589">
        <f t="shared" si="2"/>
        <v>-20.748759585024811</v>
      </c>
      <c r="S60" s="196"/>
      <c r="U60" s="196"/>
      <c r="AA60" s="68"/>
    </row>
    <row r="61" spans="1:30" ht="12" customHeight="1" x14ac:dyDescent="0.2">
      <c r="A61" s="421" t="s">
        <v>145</v>
      </c>
      <c r="B61" s="287"/>
      <c r="C61" s="563">
        <v>4.5999999999999996</v>
      </c>
      <c r="D61" s="563">
        <v>4.3</v>
      </c>
      <c r="E61" s="563">
        <v>4.0999999999999996</v>
      </c>
      <c r="F61" s="563">
        <v>2.9</v>
      </c>
      <c r="G61" s="563">
        <v>2.9</v>
      </c>
      <c r="H61" s="563">
        <v>2.9</v>
      </c>
      <c r="I61" s="563">
        <v>2.2999999999999998</v>
      </c>
      <c r="J61" s="563">
        <v>2</v>
      </c>
      <c r="K61" s="563">
        <v>2</v>
      </c>
      <c r="L61" s="564">
        <v>1.7</v>
      </c>
      <c r="M61" s="563">
        <v>1.8</v>
      </c>
      <c r="N61" s="563">
        <v>0.2</v>
      </c>
      <c r="O61" s="563">
        <v>0.3</v>
      </c>
      <c r="P61" s="582">
        <f t="shared" si="9"/>
        <v>9.9999999999999978E-2</v>
      </c>
      <c r="Q61" s="695"/>
      <c r="R61" s="589">
        <f t="shared" si="2"/>
        <v>49.999999999999986</v>
      </c>
      <c r="S61" s="196"/>
      <c r="U61" s="196"/>
      <c r="AA61" s="68"/>
    </row>
    <row r="62" spans="1:30" ht="12" customHeight="1" x14ac:dyDescent="0.2">
      <c r="A62" s="421" t="s">
        <v>146</v>
      </c>
      <c r="B62" s="287"/>
      <c r="C62" s="570">
        <v>10.3</v>
      </c>
      <c r="D62" s="570">
        <v>2</v>
      </c>
      <c r="E62" s="570">
        <v>0</v>
      </c>
      <c r="F62" s="570">
        <v>6.1</v>
      </c>
      <c r="G62" s="563">
        <v>10</v>
      </c>
      <c r="H62" s="563">
        <v>74.900000000000006</v>
      </c>
      <c r="I62" s="563">
        <v>87</v>
      </c>
      <c r="J62" s="563">
        <v>96.5</v>
      </c>
      <c r="K62" s="563">
        <v>82.3</v>
      </c>
      <c r="L62" s="564">
        <v>74.5</v>
      </c>
      <c r="M62" s="563">
        <v>151.5</v>
      </c>
      <c r="N62" s="563">
        <f>50+9.5</f>
        <v>59.5</v>
      </c>
      <c r="O62" s="563">
        <f>5+35.4</f>
        <v>40.4</v>
      </c>
      <c r="P62" s="582">
        <f t="shared" si="9"/>
        <v>-19.100000000000001</v>
      </c>
      <c r="Q62" s="695"/>
      <c r="R62" s="589">
        <f t="shared" si="2"/>
        <v>-32.100840336134453</v>
      </c>
      <c r="S62" s="196"/>
      <c r="T62" s="67"/>
      <c r="U62" s="196"/>
      <c r="AA62" s="75"/>
      <c r="AC62" s="75"/>
      <c r="AD62" s="75"/>
    </row>
    <row r="63" spans="1:30" ht="12" customHeight="1" x14ac:dyDescent="0.2">
      <c r="A63" s="421" t="s">
        <v>147</v>
      </c>
      <c r="B63" s="287"/>
      <c r="C63" s="563">
        <v>24.1</v>
      </c>
      <c r="D63" s="563">
        <v>45.8</v>
      </c>
      <c r="E63" s="563">
        <v>67.8</v>
      </c>
      <c r="F63" s="563">
        <v>65.5</v>
      </c>
      <c r="G63" s="563">
        <v>40.6</v>
      </c>
      <c r="H63" s="563">
        <v>53.8</v>
      </c>
      <c r="I63" s="563">
        <v>19.399999999999999</v>
      </c>
      <c r="J63" s="563">
        <v>15.5</v>
      </c>
      <c r="K63" s="563">
        <v>66.099999999999994</v>
      </c>
      <c r="L63" s="564">
        <v>57.400000000000006</v>
      </c>
      <c r="M63" s="563">
        <v>97.2</v>
      </c>
      <c r="N63" s="563">
        <v>0.1</v>
      </c>
      <c r="O63" s="699" t="s">
        <v>475</v>
      </c>
      <c r="P63" s="582">
        <f t="shared" si="9"/>
        <v>-0.1</v>
      </c>
      <c r="Q63" s="695"/>
      <c r="R63" s="589">
        <f t="shared" si="2"/>
        <v>-100</v>
      </c>
      <c r="S63" s="196"/>
      <c r="U63" s="196"/>
      <c r="AA63" s="68"/>
    </row>
    <row r="64" spans="1:30" ht="12" customHeight="1" x14ac:dyDescent="0.2">
      <c r="A64" s="421" t="s">
        <v>148</v>
      </c>
      <c r="B64" s="287"/>
      <c r="C64" s="568">
        <v>98.9</v>
      </c>
      <c r="D64" s="568">
        <v>223.9</v>
      </c>
      <c r="E64" s="568">
        <v>287.7</v>
      </c>
      <c r="F64" s="568">
        <v>318.89999999999998</v>
      </c>
      <c r="G64" s="563">
        <v>137.6</v>
      </c>
      <c r="H64" s="563">
        <v>31.8</v>
      </c>
      <c r="I64" s="563">
        <v>54.6</v>
      </c>
      <c r="J64" s="563">
        <v>297.10000000000002</v>
      </c>
      <c r="K64" s="563">
        <v>27.5</v>
      </c>
      <c r="L64" s="564">
        <v>4.3</v>
      </c>
      <c r="M64" s="563">
        <v>216.7</v>
      </c>
      <c r="N64" s="563">
        <v>5.9</v>
      </c>
      <c r="O64" s="563">
        <v>0</v>
      </c>
      <c r="P64" s="582">
        <f t="shared" si="9"/>
        <v>-5.9</v>
      </c>
      <c r="Q64" s="695"/>
      <c r="R64" s="589">
        <f t="shared" si="2"/>
        <v>-100</v>
      </c>
      <c r="S64" s="196"/>
      <c r="T64" s="67"/>
      <c r="U64" s="196"/>
      <c r="AA64" s="75"/>
      <c r="AC64" s="75"/>
      <c r="AD64" s="75"/>
    </row>
    <row r="65" spans="1:34" ht="12" customHeight="1" x14ac:dyDescent="0.2">
      <c r="A65" s="421" t="s">
        <v>149</v>
      </c>
      <c r="B65" s="287"/>
      <c r="C65" s="571">
        <v>7.3000000000001819</v>
      </c>
      <c r="D65" s="571">
        <v>7.1999999999998181</v>
      </c>
      <c r="E65" s="571">
        <v>3.2999999999997272</v>
      </c>
      <c r="F65" s="571">
        <f t="shared" ref="F65:J65" si="10">F47-SUM(F48:F64)</f>
        <v>3.7599999999997635</v>
      </c>
      <c r="G65" s="572">
        <f t="shared" si="10"/>
        <v>1.7000000000002728</v>
      </c>
      <c r="H65" s="572">
        <f t="shared" si="10"/>
        <v>1</v>
      </c>
      <c r="I65" s="572">
        <f t="shared" si="10"/>
        <v>0.40000000000009095</v>
      </c>
      <c r="J65" s="572">
        <f t="shared" si="10"/>
        <v>0.3000000000001819</v>
      </c>
      <c r="K65" s="572">
        <f t="shared" ref="K65" si="11">K47-SUM(K48:K64)</f>
        <v>0.5</v>
      </c>
      <c r="L65" s="573">
        <f t="shared" ref="L65" si="12">L47-SUM(L48:L64)</f>
        <v>0.39999999999986358</v>
      </c>
      <c r="M65" s="572">
        <f>M47-SUM(M48:M64)</f>
        <v>0.7000000000007276</v>
      </c>
      <c r="N65" s="572">
        <f>N47-SUM(N48:N64)+0.2</f>
        <v>-4.546363285840016E-14</v>
      </c>
      <c r="O65" s="572">
        <f t="shared" ref="O65" si="13">O47-SUM(O48:O64)</f>
        <v>0.30000000000006821</v>
      </c>
      <c r="P65" s="582">
        <f t="shared" si="9"/>
        <v>0.30000000000011368</v>
      </c>
      <c r="Q65" s="695"/>
      <c r="R65" s="590" t="s">
        <v>290</v>
      </c>
      <c r="S65" s="154"/>
      <c r="U65" s="144"/>
      <c r="AA65" s="75"/>
      <c r="AC65" s="75"/>
      <c r="AD65" s="75"/>
      <c r="AE65" s="75"/>
      <c r="AF65" s="75"/>
      <c r="AG65" s="75"/>
    </row>
    <row r="66" spans="1:34" ht="11.1" customHeight="1" x14ac:dyDescent="0.2">
      <c r="A66" s="421"/>
      <c r="B66" s="287"/>
      <c r="C66" s="560"/>
      <c r="D66" s="560"/>
      <c r="E66" s="560"/>
      <c r="F66" s="560"/>
      <c r="G66" s="560"/>
      <c r="H66" s="560"/>
      <c r="I66" s="560"/>
      <c r="J66" s="560"/>
      <c r="K66" s="560"/>
      <c r="L66" s="552"/>
      <c r="M66" s="560"/>
      <c r="N66" s="560"/>
      <c r="O66" s="560"/>
      <c r="P66" s="582"/>
      <c r="Q66" s="695"/>
      <c r="R66" s="589"/>
      <c r="AA66" s="68"/>
    </row>
    <row r="67" spans="1:34" ht="13.5" customHeight="1" x14ac:dyDescent="0.25">
      <c r="A67" s="419" t="s">
        <v>150</v>
      </c>
      <c r="B67" s="287"/>
      <c r="C67" s="560">
        <v>0</v>
      </c>
      <c r="D67" s="560">
        <v>21.9</v>
      </c>
      <c r="E67" s="560">
        <v>0</v>
      </c>
      <c r="F67" s="560">
        <v>0</v>
      </c>
      <c r="G67" s="560">
        <v>0</v>
      </c>
      <c r="H67" s="560">
        <v>0</v>
      </c>
      <c r="I67" s="560">
        <v>0</v>
      </c>
      <c r="J67" s="560">
        <v>0</v>
      </c>
      <c r="K67" s="560">
        <v>0</v>
      </c>
      <c r="L67" s="552">
        <v>0</v>
      </c>
      <c r="M67" s="560">
        <v>0</v>
      </c>
      <c r="N67" s="560">
        <v>0</v>
      </c>
      <c r="O67" s="560">
        <v>0</v>
      </c>
      <c r="P67" s="582">
        <f>O67-N67</f>
        <v>0</v>
      </c>
      <c r="Q67" s="695"/>
      <c r="R67" s="590" t="s">
        <v>290</v>
      </c>
      <c r="T67" s="67"/>
      <c r="AA67" s="68"/>
    </row>
    <row r="68" spans="1:34" ht="6.75" customHeight="1" x14ac:dyDescent="0.2">
      <c r="A68" s="421"/>
      <c r="B68" s="287"/>
      <c r="C68" s="560"/>
      <c r="D68" s="560"/>
      <c r="E68" s="560"/>
      <c r="F68" s="560"/>
      <c r="G68" s="560"/>
      <c r="H68" s="560"/>
      <c r="I68" s="560"/>
      <c r="J68" s="560"/>
      <c r="K68" s="560"/>
      <c r="L68" s="552"/>
      <c r="M68" s="560"/>
      <c r="N68" s="560"/>
      <c r="O68" s="560"/>
      <c r="P68" s="582"/>
      <c r="Q68" s="695"/>
      <c r="R68" s="589"/>
      <c r="AA68" s="68"/>
    </row>
    <row r="69" spans="1:34" s="145" customFormat="1" ht="13.5" customHeight="1" thickBot="1" x14ac:dyDescent="0.3">
      <c r="A69" s="423" t="s">
        <v>101</v>
      </c>
      <c r="B69" s="424"/>
      <c r="C69" s="574">
        <v>3040.7</v>
      </c>
      <c r="D69" s="574">
        <v>3267</v>
      </c>
      <c r="E69" s="574">
        <v>3359.6</v>
      </c>
      <c r="F69" s="574">
        <v>3519.6</v>
      </c>
      <c r="G69" s="574">
        <v>2817.7</v>
      </c>
      <c r="H69" s="574">
        <v>3078.3</v>
      </c>
      <c r="I69" s="574">
        <v>3135.5</v>
      </c>
      <c r="J69" s="574">
        <v>3195.9</v>
      </c>
      <c r="K69" s="574">
        <v>2749.2</v>
      </c>
      <c r="L69" s="574">
        <v>1848.7</v>
      </c>
      <c r="M69" s="574">
        <v>3313.1</v>
      </c>
      <c r="N69" s="575">
        <f>513.4+312.7</f>
        <v>826.09999999999991</v>
      </c>
      <c r="O69" s="574">
        <f>536.3+489.4</f>
        <v>1025.6999999999998</v>
      </c>
      <c r="P69" s="583">
        <f>O69-N69</f>
        <v>199.59999999999991</v>
      </c>
      <c r="Q69" s="696"/>
      <c r="R69" s="591">
        <f t="shared" si="2"/>
        <v>24.161723762256376</v>
      </c>
      <c r="S69" s="292"/>
      <c r="T69" s="292"/>
      <c r="U69" s="292"/>
      <c r="V69" s="292"/>
      <c r="W69" s="292"/>
      <c r="X69" s="292"/>
      <c r="Y69" s="292"/>
      <c r="Z69" s="292"/>
      <c r="AA69" s="200"/>
      <c r="AB69" s="202"/>
      <c r="AC69" s="202"/>
      <c r="AD69" s="202"/>
      <c r="AE69" s="202"/>
      <c r="AF69" s="202"/>
      <c r="AG69" s="202"/>
      <c r="AH69" s="202"/>
    </row>
    <row r="70" spans="1:34" s="68" customFormat="1" ht="15" customHeight="1" x14ac:dyDescent="0.2">
      <c r="A70" s="730" t="s">
        <v>474</v>
      </c>
      <c r="B70" s="731"/>
      <c r="C70" s="731"/>
      <c r="D70" s="731"/>
      <c r="I70" s="192"/>
      <c r="J70" s="192"/>
      <c r="K70" s="192"/>
      <c r="L70" s="73"/>
      <c r="M70" s="73"/>
      <c r="N70" s="540"/>
      <c r="O70" s="73"/>
      <c r="P70" s="581"/>
      <c r="Q70" s="581"/>
      <c r="R70" s="581"/>
      <c r="S70" s="192"/>
      <c r="T70" s="291"/>
      <c r="U70" s="192"/>
    </row>
    <row r="71" spans="1:34" s="68" customFormat="1" ht="13.5" customHeight="1" x14ac:dyDescent="0.2">
      <c r="A71" s="290" t="s">
        <v>369</v>
      </c>
      <c r="B71" s="291"/>
      <c r="C71" s="291"/>
      <c r="D71" s="291"/>
      <c r="I71" s="192"/>
      <c r="J71" s="192"/>
      <c r="K71" s="192"/>
      <c r="L71" s="73"/>
      <c r="M71" s="73"/>
      <c r="N71" s="540"/>
      <c r="O71" s="73"/>
      <c r="P71" s="581"/>
      <c r="Q71" s="581"/>
      <c r="R71" s="581"/>
      <c r="S71" s="192"/>
      <c r="T71" s="291"/>
      <c r="U71" s="192"/>
    </row>
    <row r="72" spans="1:34" s="68" customFormat="1" ht="13.5" customHeight="1" x14ac:dyDescent="0.2">
      <c r="A72" s="290" t="s">
        <v>450</v>
      </c>
      <c r="B72" s="291"/>
      <c r="C72" s="291"/>
      <c r="D72" s="291"/>
      <c r="I72" s="192"/>
      <c r="J72" s="192"/>
      <c r="K72" s="192"/>
      <c r="L72" s="73"/>
      <c r="M72" s="73"/>
      <c r="N72" s="540"/>
      <c r="O72" s="73"/>
      <c r="P72" s="581"/>
      <c r="Q72" s="581"/>
      <c r="R72" s="581"/>
      <c r="S72" s="192"/>
      <c r="T72" s="291"/>
      <c r="U72" s="192"/>
    </row>
    <row r="73" spans="1:34" s="68" customFormat="1" ht="11.25" customHeight="1" x14ac:dyDescent="0.2">
      <c r="A73" s="68" t="s">
        <v>319</v>
      </c>
      <c r="I73" s="192"/>
      <c r="J73" s="192"/>
      <c r="K73" s="192"/>
      <c r="L73" s="73"/>
      <c r="M73" s="73"/>
      <c r="N73" s="540"/>
      <c r="O73" s="73"/>
      <c r="P73" s="581"/>
      <c r="Q73" s="581"/>
      <c r="R73" s="581"/>
      <c r="S73" s="192"/>
      <c r="T73" s="291"/>
      <c r="U73" s="192"/>
    </row>
    <row r="74" spans="1:34" s="68" customFormat="1" ht="12" customHeight="1" x14ac:dyDescent="0.2">
      <c r="A74" s="6" t="s">
        <v>477</v>
      </c>
      <c r="I74" s="192"/>
      <c r="J74" s="192"/>
      <c r="K74" s="192"/>
      <c r="L74" s="73"/>
      <c r="M74" s="73"/>
      <c r="N74" s="540"/>
      <c r="O74" s="73"/>
      <c r="P74" s="581"/>
      <c r="Q74" s="581"/>
      <c r="R74" s="581"/>
      <c r="S74" s="192"/>
      <c r="T74" s="291"/>
      <c r="U74" s="192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288"/>
      <c r="J75" s="288"/>
      <c r="K75" s="288"/>
      <c r="L75" s="73"/>
      <c r="M75" s="73"/>
      <c r="N75" s="540"/>
      <c r="O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288"/>
      <c r="J76" s="288"/>
      <c r="K76" s="288"/>
      <c r="L76" s="73"/>
      <c r="M76" s="73"/>
      <c r="N76" s="540"/>
      <c r="O76" s="73"/>
    </row>
    <row r="77" spans="1:34" x14ac:dyDescent="0.2">
      <c r="B77" s="70"/>
      <c r="C77" s="70"/>
      <c r="D77" s="70"/>
      <c r="E77" s="70"/>
      <c r="F77" s="70"/>
      <c r="G77" s="70"/>
      <c r="H77" s="70"/>
      <c r="I77" s="288"/>
      <c r="J77" s="288"/>
      <c r="K77" s="288"/>
      <c r="L77" s="73"/>
      <c r="M77" s="73"/>
      <c r="N77" s="540"/>
      <c r="O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288"/>
      <c r="J78" s="288"/>
      <c r="K78" s="288"/>
      <c r="L78" s="73"/>
      <c r="M78" s="73"/>
      <c r="N78" s="540"/>
      <c r="O78" s="73"/>
    </row>
    <row r="79" spans="1:34" x14ac:dyDescent="0.2">
      <c r="B79" s="70"/>
      <c r="C79" s="70"/>
      <c r="D79" s="70"/>
      <c r="E79" s="70"/>
      <c r="F79" s="70"/>
      <c r="G79" s="70"/>
      <c r="H79" s="70"/>
      <c r="I79" s="288"/>
      <c r="J79" s="288"/>
      <c r="K79" s="288"/>
      <c r="L79" s="73"/>
      <c r="M79" s="73"/>
      <c r="N79" s="540"/>
      <c r="O79" s="73"/>
    </row>
    <row r="80" spans="1:34" x14ac:dyDescent="0.2">
      <c r="B80" s="70"/>
      <c r="C80" s="70"/>
      <c r="D80" s="70"/>
      <c r="E80" s="70"/>
      <c r="F80" s="70"/>
      <c r="G80" s="70"/>
      <c r="H80" s="70"/>
      <c r="I80" s="288"/>
      <c r="J80" s="288"/>
      <c r="K80" s="288"/>
      <c r="L80" s="73"/>
      <c r="M80" s="73"/>
      <c r="N80" s="540"/>
      <c r="O80" s="73"/>
    </row>
    <row r="81" spans="2:26" x14ac:dyDescent="0.2">
      <c r="B81" s="70"/>
      <c r="C81" s="70"/>
      <c r="D81" s="70"/>
      <c r="E81" s="70"/>
      <c r="F81" s="70"/>
      <c r="G81" s="70"/>
      <c r="H81" s="70"/>
      <c r="I81" s="288"/>
      <c r="J81" s="288"/>
      <c r="K81" s="288"/>
      <c r="L81" s="73"/>
      <c r="M81" s="73"/>
      <c r="N81" s="540"/>
      <c r="O81" s="73"/>
    </row>
    <row r="82" spans="2:26" x14ac:dyDescent="0.2">
      <c r="B82" s="70"/>
      <c r="C82" s="70"/>
      <c r="D82" s="70"/>
      <c r="E82" s="70"/>
      <c r="F82" s="70"/>
      <c r="G82" s="70"/>
      <c r="H82" s="70"/>
      <c r="I82" s="288"/>
      <c r="J82" s="288"/>
      <c r="K82" s="288"/>
      <c r="L82" s="73"/>
      <c r="M82" s="73"/>
      <c r="N82" s="540"/>
      <c r="O82" s="73"/>
    </row>
    <row r="83" spans="2:26" x14ac:dyDescent="0.2">
      <c r="B83" s="70"/>
      <c r="C83" s="70"/>
      <c r="D83" s="70"/>
      <c r="E83" s="70"/>
      <c r="F83" s="70"/>
      <c r="G83" s="70"/>
      <c r="H83" s="70"/>
      <c r="I83" s="288"/>
      <c r="J83" s="288"/>
      <c r="K83" s="288"/>
      <c r="L83" s="73"/>
      <c r="M83" s="73"/>
      <c r="N83" s="540"/>
      <c r="O83" s="73"/>
    </row>
    <row r="84" spans="2:26" x14ac:dyDescent="0.2">
      <c r="B84" s="70"/>
      <c r="C84" s="70"/>
      <c r="D84" s="70"/>
      <c r="E84" s="70"/>
      <c r="F84" s="70"/>
      <c r="G84" s="70"/>
      <c r="H84" s="70"/>
      <c r="I84" s="288"/>
      <c r="J84" s="288"/>
      <c r="K84" s="288"/>
      <c r="L84" s="73"/>
      <c r="M84" s="73"/>
      <c r="N84" s="540"/>
      <c r="O84" s="73"/>
    </row>
    <row r="85" spans="2:26" x14ac:dyDescent="0.2">
      <c r="B85" s="70"/>
      <c r="C85" s="70"/>
      <c r="D85" s="70"/>
      <c r="E85" s="70"/>
      <c r="F85" s="70"/>
      <c r="G85" s="70"/>
      <c r="H85" s="70"/>
      <c r="I85" s="288"/>
      <c r="J85" s="288"/>
      <c r="K85" s="288"/>
      <c r="L85" s="73"/>
      <c r="M85" s="73"/>
      <c r="N85" s="540"/>
      <c r="O85" s="73"/>
    </row>
    <row r="86" spans="2:26" x14ac:dyDescent="0.2">
      <c r="B86" s="70"/>
      <c r="C86" s="70"/>
      <c r="D86" s="70"/>
      <c r="E86" s="70"/>
      <c r="F86" s="70"/>
      <c r="G86" s="70"/>
      <c r="H86" s="70"/>
      <c r="I86" s="288"/>
      <c r="J86" s="288"/>
      <c r="K86" s="288"/>
      <c r="L86" s="73"/>
      <c r="M86" s="73"/>
      <c r="N86" s="540"/>
      <c r="O86" s="73"/>
    </row>
    <row r="87" spans="2:26" x14ac:dyDescent="0.2">
      <c r="B87" s="70"/>
      <c r="C87" s="70"/>
      <c r="D87" s="70"/>
      <c r="E87" s="70"/>
      <c r="F87" s="70"/>
      <c r="G87" s="70"/>
      <c r="H87" s="70"/>
      <c r="I87" s="288"/>
      <c r="J87" s="288"/>
      <c r="K87" s="288"/>
      <c r="N87" s="539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288"/>
      <c r="J88" s="288"/>
      <c r="K88" s="288"/>
      <c r="N88" s="539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288"/>
      <c r="J89" s="288"/>
      <c r="K89" s="288"/>
      <c r="N89" s="539"/>
    </row>
    <row r="90" spans="2:26" x14ac:dyDescent="0.2">
      <c r="B90" s="70"/>
      <c r="C90" s="70"/>
      <c r="D90" s="70"/>
      <c r="E90" s="70"/>
      <c r="F90" s="70"/>
      <c r="G90" s="70"/>
      <c r="H90" s="70"/>
      <c r="I90" s="288"/>
      <c r="J90" s="288"/>
      <c r="K90" s="288"/>
      <c r="N90" s="539"/>
    </row>
    <row r="91" spans="2:26" x14ac:dyDescent="0.2">
      <c r="B91" s="70"/>
      <c r="C91" s="70"/>
      <c r="D91" s="70"/>
      <c r="E91" s="70"/>
      <c r="F91" s="70"/>
      <c r="G91" s="70"/>
      <c r="H91" s="70"/>
      <c r="I91" s="288"/>
      <c r="J91" s="288"/>
      <c r="K91" s="288"/>
      <c r="N91" s="539"/>
    </row>
    <row r="92" spans="2:26" x14ac:dyDescent="0.2">
      <c r="B92" s="70"/>
      <c r="C92" s="70"/>
      <c r="D92" s="70"/>
      <c r="E92" s="70"/>
      <c r="F92" s="70"/>
      <c r="G92" s="70"/>
      <c r="H92" s="70"/>
      <c r="I92" s="288"/>
      <c r="J92" s="288"/>
      <c r="K92" s="288"/>
      <c r="N92" s="539"/>
    </row>
    <row r="93" spans="2:26" x14ac:dyDescent="0.2">
      <c r="B93" s="70"/>
      <c r="C93" s="70"/>
      <c r="D93" s="70"/>
      <c r="E93" s="70"/>
      <c r="F93" s="70"/>
      <c r="G93" s="70"/>
      <c r="H93" s="70"/>
      <c r="I93" s="288"/>
      <c r="J93" s="288"/>
      <c r="K93" s="288"/>
      <c r="N93" s="539"/>
    </row>
    <row r="94" spans="2:26" x14ac:dyDescent="0.2">
      <c r="B94" s="289"/>
      <c r="C94" s="289"/>
      <c r="D94" s="289"/>
      <c r="E94" s="289"/>
      <c r="F94" s="289"/>
      <c r="G94" s="289"/>
      <c r="H94" s="289"/>
      <c r="I94" s="288"/>
      <c r="J94" s="288"/>
      <c r="K94" s="288"/>
      <c r="N94" s="539"/>
    </row>
    <row r="95" spans="2:26" x14ac:dyDescent="0.2">
      <c r="B95" s="70"/>
      <c r="C95" s="70"/>
      <c r="D95" s="70"/>
      <c r="E95" s="70"/>
      <c r="F95" s="70"/>
      <c r="G95" s="70"/>
      <c r="H95" s="70"/>
      <c r="I95" s="288"/>
      <c r="J95" s="288"/>
      <c r="K95" s="288"/>
      <c r="N95" s="539"/>
    </row>
    <row r="96" spans="2:26" x14ac:dyDescent="0.2">
      <c r="B96" s="70"/>
      <c r="C96" s="70"/>
      <c r="D96" s="70"/>
      <c r="E96" s="70"/>
      <c r="F96" s="70"/>
      <c r="G96" s="70"/>
      <c r="H96" s="70"/>
      <c r="I96" s="288"/>
      <c r="J96" s="288"/>
      <c r="K96" s="288"/>
      <c r="N96" s="539"/>
    </row>
    <row r="97" spans="2:14" x14ac:dyDescent="0.2">
      <c r="B97" s="70"/>
      <c r="C97" s="70"/>
      <c r="D97" s="70"/>
      <c r="E97" s="70"/>
      <c r="F97" s="70"/>
      <c r="G97" s="70"/>
      <c r="H97" s="70"/>
      <c r="I97" s="288"/>
      <c r="J97" s="288"/>
      <c r="K97" s="288"/>
      <c r="N97" s="539"/>
    </row>
    <row r="98" spans="2:14" x14ac:dyDescent="0.2">
      <c r="B98" s="70"/>
      <c r="C98" s="70"/>
      <c r="D98" s="70"/>
      <c r="E98" s="70"/>
      <c r="F98" s="70"/>
      <c r="G98" s="70"/>
      <c r="H98" s="70"/>
      <c r="I98" s="288"/>
      <c r="J98" s="288"/>
      <c r="K98" s="288"/>
      <c r="N98" s="539"/>
    </row>
    <row r="99" spans="2:14" x14ac:dyDescent="0.2">
      <c r="B99" s="70"/>
      <c r="C99" s="70"/>
      <c r="D99" s="70"/>
      <c r="E99" s="70"/>
      <c r="F99" s="70"/>
      <c r="G99" s="70"/>
      <c r="H99" s="70"/>
      <c r="I99" s="288"/>
      <c r="J99" s="288"/>
      <c r="K99" s="288"/>
      <c r="N99" s="539"/>
    </row>
    <row r="100" spans="2:14" x14ac:dyDescent="0.2">
      <c r="B100" s="70"/>
      <c r="C100" s="70"/>
      <c r="D100" s="70"/>
      <c r="E100" s="70"/>
      <c r="F100" s="70"/>
      <c r="G100" s="70"/>
      <c r="H100" s="70"/>
      <c r="I100" s="288"/>
      <c r="J100" s="288"/>
      <c r="K100" s="288"/>
      <c r="N100" s="539"/>
    </row>
    <row r="101" spans="2:14" x14ac:dyDescent="0.2">
      <c r="B101" s="70"/>
      <c r="C101" s="70"/>
      <c r="D101" s="70"/>
      <c r="E101" s="70"/>
      <c r="F101" s="70"/>
      <c r="G101" s="70"/>
      <c r="H101" s="70"/>
      <c r="I101" s="288"/>
      <c r="J101" s="288"/>
      <c r="K101" s="288"/>
      <c r="N101" s="539"/>
    </row>
    <row r="102" spans="2:14" x14ac:dyDescent="0.2">
      <c r="B102" s="70"/>
      <c r="C102" s="70"/>
      <c r="D102" s="70"/>
      <c r="E102" s="70"/>
      <c r="F102" s="70"/>
      <c r="G102" s="70"/>
      <c r="H102" s="70"/>
      <c r="I102" s="288"/>
      <c r="J102" s="288"/>
      <c r="K102" s="288"/>
      <c r="N102" s="539"/>
    </row>
    <row r="103" spans="2:14" x14ac:dyDescent="0.2">
      <c r="I103" s="142"/>
      <c r="J103" s="142"/>
      <c r="K103" s="142"/>
    </row>
    <row r="104" spans="2:14" x14ac:dyDescent="0.2">
      <c r="I104" s="142"/>
      <c r="J104" s="142"/>
      <c r="K104" s="142"/>
    </row>
    <row r="105" spans="2:14" x14ac:dyDescent="0.2">
      <c r="I105" s="142"/>
      <c r="J105" s="142"/>
      <c r="K105" s="142"/>
    </row>
    <row r="106" spans="2:14" x14ac:dyDescent="0.2">
      <c r="I106" s="142"/>
      <c r="J106" s="142"/>
      <c r="K106" s="142"/>
    </row>
    <row r="107" spans="2:14" x14ac:dyDescent="0.2">
      <c r="I107" s="142"/>
      <c r="J107" s="142"/>
      <c r="K107" s="142"/>
    </row>
    <row r="108" spans="2:14" x14ac:dyDescent="0.2">
      <c r="I108" s="142"/>
      <c r="J108" s="142"/>
      <c r="K108" s="142"/>
    </row>
    <row r="109" spans="2:14" x14ac:dyDescent="0.2">
      <c r="I109" s="142"/>
      <c r="J109" s="142"/>
      <c r="K109" s="142"/>
    </row>
    <row r="110" spans="2:14" x14ac:dyDescent="0.2">
      <c r="I110" s="142"/>
      <c r="J110" s="142"/>
      <c r="K110" s="142"/>
    </row>
    <row r="111" spans="2:14" x14ac:dyDescent="0.2">
      <c r="I111" s="142"/>
      <c r="J111" s="142"/>
      <c r="K111" s="142"/>
    </row>
    <row r="112" spans="2:14" x14ac:dyDescent="0.2">
      <c r="I112" s="142"/>
      <c r="J112" s="142"/>
      <c r="K112" s="142"/>
    </row>
    <row r="113" spans="9:11" x14ac:dyDescent="0.2">
      <c r="I113" s="142"/>
      <c r="J113" s="142"/>
      <c r="K113" s="142"/>
    </row>
    <row r="114" spans="9:11" x14ac:dyDescent="0.2">
      <c r="I114" s="142"/>
      <c r="J114" s="142"/>
      <c r="K114" s="142"/>
    </row>
    <row r="115" spans="9:11" x14ac:dyDescent="0.2">
      <c r="I115" s="142"/>
      <c r="J115" s="142"/>
      <c r="K115" s="142"/>
    </row>
    <row r="116" spans="9:11" x14ac:dyDescent="0.2">
      <c r="I116" s="142"/>
      <c r="J116" s="142"/>
      <c r="K116" s="142"/>
    </row>
    <row r="117" spans="9:11" x14ac:dyDescent="0.2">
      <c r="I117" s="142"/>
      <c r="J117" s="142"/>
      <c r="K117" s="142"/>
    </row>
    <row r="118" spans="9:11" x14ac:dyDescent="0.2">
      <c r="I118" s="142"/>
      <c r="J118" s="142"/>
      <c r="K118" s="142"/>
    </row>
    <row r="119" spans="9:11" x14ac:dyDescent="0.2">
      <c r="I119" s="142"/>
      <c r="J119" s="142"/>
      <c r="K119" s="142"/>
    </row>
    <row r="120" spans="9:11" x14ac:dyDescent="0.2">
      <c r="I120" s="142"/>
      <c r="J120" s="142"/>
      <c r="K120" s="142"/>
    </row>
    <row r="121" spans="9:11" x14ac:dyDescent="0.2">
      <c r="I121" s="142"/>
      <c r="J121" s="142"/>
      <c r="K121" s="142"/>
    </row>
    <row r="122" spans="9:11" x14ac:dyDescent="0.2">
      <c r="I122" s="142"/>
      <c r="J122" s="142"/>
      <c r="K122" s="142"/>
    </row>
    <row r="123" spans="9:11" x14ac:dyDescent="0.2">
      <c r="I123" s="142"/>
      <c r="J123" s="142"/>
      <c r="K123" s="142"/>
    </row>
    <row r="124" spans="9:11" x14ac:dyDescent="0.2">
      <c r="I124" s="142"/>
      <c r="J124" s="142"/>
      <c r="K124" s="142"/>
    </row>
    <row r="125" spans="9:11" x14ac:dyDescent="0.2">
      <c r="I125" s="142"/>
      <c r="J125" s="142"/>
      <c r="K125" s="142"/>
    </row>
    <row r="126" spans="9:11" x14ac:dyDescent="0.2">
      <c r="I126" s="142"/>
      <c r="J126" s="142"/>
      <c r="K126" s="142"/>
    </row>
    <row r="127" spans="9:11" x14ac:dyDescent="0.2">
      <c r="I127" s="142"/>
      <c r="J127" s="142"/>
      <c r="K127" s="142"/>
    </row>
    <row r="128" spans="9:11" x14ac:dyDescent="0.2">
      <c r="I128" s="142"/>
      <c r="J128" s="142"/>
      <c r="K128" s="142"/>
    </row>
    <row r="129" spans="9:26" x14ac:dyDescent="0.2">
      <c r="I129" s="142"/>
      <c r="J129" s="142"/>
      <c r="K129" s="142"/>
    </row>
    <row r="130" spans="9:26" x14ac:dyDescent="0.2">
      <c r="I130" s="142"/>
      <c r="J130" s="142"/>
      <c r="K130" s="142"/>
    </row>
    <row r="131" spans="9:26" x14ac:dyDescent="0.2">
      <c r="I131" s="142"/>
      <c r="J131" s="142"/>
      <c r="K131" s="142"/>
    </row>
    <row r="132" spans="9:26" x14ac:dyDescent="0.2">
      <c r="I132" s="142"/>
      <c r="J132" s="142"/>
      <c r="K132" s="142"/>
    </row>
    <row r="133" spans="9:26" x14ac:dyDescent="0.2">
      <c r="I133" s="142"/>
      <c r="J133" s="142"/>
      <c r="K133" s="142"/>
    </row>
    <row r="134" spans="9:26" x14ac:dyDescent="0.2">
      <c r="I134" s="142"/>
      <c r="J134" s="142"/>
      <c r="K134" s="142"/>
    </row>
    <row r="135" spans="9:26" x14ac:dyDescent="0.2">
      <c r="I135" s="142"/>
      <c r="J135" s="142"/>
      <c r="K135" s="142"/>
    </row>
    <row r="136" spans="9:26" x14ac:dyDescent="0.2">
      <c r="I136" s="142"/>
      <c r="J136" s="142"/>
      <c r="K136" s="142"/>
    </row>
    <row r="137" spans="9:26" x14ac:dyDescent="0.2">
      <c r="I137" s="142"/>
      <c r="J137" s="142"/>
      <c r="K137" s="142"/>
    </row>
    <row r="138" spans="9:26" x14ac:dyDescent="0.2">
      <c r="I138" s="142"/>
      <c r="J138" s="142"/>
      <c r="K138" s="142"/>
    </row>
    <row r="139" spans="9:26" x14ac:dyDescent="0.2">
      <c r="I139" s="142"/>
      <c r="J139" s="142"/>
      <c r="K139" s="142"/>
    </row>
    <row r="140" spans="9:26" x14ac:dyDescent="0.2">
      <c r="I140" s="142"/>
      <c r="J140" s="142"/>
      <c r="K140" s="142"/>
    </row>
    <row r="141" spans="9:26" x14ac:dyDescent="0.2">
      <c r="I141" s="142"/>
      <c r="J141" s="142"/>
      <c r="K141" s="142"/>
    </row>
    <row r="142" spans="9:26" x14ac:dyDescent="0.2">
      <c r="I142" s="142"/>
      <c r="J142" s="142"/>
      <c r="K142" s="142"/>
    </row>
    <row r="143" spans="9:26" x14ac:dyDescent="0.2">
      <c r="I143" s="142"/>
      <c r="J143" s="142"/>
      <c r="K143" s="142"/>
      <c r="V143" s="82"/>
      <c r="W143" s="82"/>
      <c r="X143" s="82"/>
      <c r="Y143" s="82"/>
      <c r="Z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8"/>
  <sheetViews>
    <sheetView zoomScale="110" zoomScaleNormal="11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P34" sqref="P34"/>
    </sheetView>
  </sheetViews>
  <sheetFormatPr defaultRowHeight="13.2" x14ac:dyDescent="0.25"/>
  <cols>
    <col min="1" max="1" width="24" style="189" customWidth="1"/>
    <col min="2" max="3" width="14" style="189" customWidth="1"/>
    <col min="4" max="4" width="11.77734375" style="189" customWidth="1"/>
    <col min="5" max="5" width="11.44140625" style="189" customWidth="1"/>
    <col min="6" max="6" width="12.6640625" style="189" customWidth="1"/>
    <col min="7" max="7" width="12" style="189" customWidth="1"/>
    <col min="8" max="8" width="11.109375" style="189" customWidth="1"/>
    <col min="9" max="9" width="11" style="189" customWidth="1"/>
    <col min="10" max="11" width="12.109375" style="189" customWidth="1"/>
    <col min="12" max="13" width="13.33203125" style="299" customWidth="1"/>
    <col min="14" max="14" width="13.109375" style="189" customWidth="1"/>
    <col min="15" max="15" width="2" style="189" customWidth="1"/>
    <col min="16" max="16" width="14.21875" style="299" customWidth="1"/>
    <col min="17" max="17" width="11.6640625" style="189" customWidth="1"/>
    <col min="18" max="18" width="11.77734375" customWidth="1"/>
  </cols>
  <sheetData>
    <row r="1" spans="1:20" ht="21" customHeight="1" x14ac:dyDescent="0.25">
      <c r="A1" s="252" t="s">
        <v>412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300"/>
      <c r="M1" s="300"/>
      <c r="N1" s="253"/>
      <c r="O1" s="253"/>
      <c r="P1" s="297"/>
      <c r="Q1" s="253"/>
      <c r="R1" s="254"/>
    </row>
    <row r="2" spans="1:20" ht="23.25" customHeight="1" x14ac:dyDescent="0.25">
      <c r="A2" s="255"/>
      <c r="B2" s="411" t="s">
        <v>27</v>
      </c>
      <c r="C2" s="411" t="s">
        <v>28</v>
      </c>
      <c r="D2" s="411" t="s">
        <v>29</v>
      </c>
      <c r="E2" s="411" t="s">
        <v>30</v>
      </c>
      <c r="F2" s="411" t="s">
        <v>31</v>
      </c>
      <c r="G2" s="411" t="s">
        <v>32</v>
      </c>
      <c r="H2" s="411" t="s">
        <v>245</v>
      </c>
      <c r="I2" s="411" t="s">
        <v>248</v>
      </c>
      <c r="J2" s="411" t="s">
        <v>252</v>
      </c>
      <c r="K2" s="411" t="s">
        <v>286</v>
      </c>
      <c r="L2" s="411" t="s">
        <v>334</v>
      </c>
      <c r="M2" s="411" t="s">
        <v>374</v>
      </c>
      <c r="N2" s="250" t="s">
        <v>374</v>
      </c>
      <c r="O2" s="411"/>
      <c r="P2" s="298"/>
      <c r="Q2" s="697" t="s">
        <v>444</v>
      </c>
      <c r="R2" s="256"/>
    </row>
    <row r="3" spans="1:20" x14ac:dyDescent="0.25">
      <c r="A3" s="255"/>
      <c r="B3" s="404" t="s">
        <v>81</v>
      </c>
      <c r="C3" s="404" t="s">
        <v>81</v>
      </c>
      <c r="D3" s="404" t="s">
        <v>81</v>
      </c>
      <c r="E3" s="404" t="s">
        <v>81</v>
      </c>
      <c r="F3" s="404" t="s">
        <v>81</v>
      </c>
      <c r="G3" s="404" t="s">
        <v>81</v>
      </c>
      <c r="H3" s="404" t="s">
        <v>81</v>
      </c>
      <c r="I3" s="404" t="s">
        <v>81</v>
      </c>
      <c r="J3" s="404" t="s">
        <v>81</v>
      </c>
      <c r="K3" s="404" t="s">
        <v>81</v>
      </c>
      <c r="L3" s="404" t="s">
        <v>81</v>
      </c>
      <c r="M3" s="404" t="s">
        <v>81</v>
      </c>
      <c r="N3" s="404" t="s">
        <v>368</v>
      </c>
      <c r="O3" s="404"/>
      <c r="P3" s="403" t="s">
        <v>368</v>
      </c>
      <c r="Q3" s="251" t="s">
        <v>430</v>
      </c>
      <c r="R3" s="256"/>
    </row>
    <row r="4" spans="1:20" ht="13.8" thickBot="1" x14ac:dyDescent="0.3">
      <c r="A4" s="262"/>
      <c r="B4" s="270" t="s">
        <v>102</v>
      </c>
      <c r="C4" s="270" t="s">
        <v>102</v>
      </c>
      <c r="D4" s="270" t="s">
        <v>102</v>
      </c>
      <c r="E4" s="270" t="s">
        <v>102</v>
      </c>
      <c r="F4" s="270" t="s">
        <v>102</v>
      </c>
      <c r="G4" s="270" t="s">
        <v>102</v>
      </c>
      <c r="H4" s="270" t="s">
        <v>102</v>
      </c>
      <c r="I4" s="270" t="s">
        <v>102</v>
      </c>
      <c r="J4" s="270" t="s">
        <v>102</v>
      </c>
      <c r="K4" s="270" t="s">
        <v>102</v>
      </c>
      <c r="L4" s="270" t="s">
        <v>102</v>
      </c>
      <c r="M4" s="270" t="s">
        <v>102</v>
      </c>
      <c r="N4" s="271" t="s">
        <v>482</v>
      </c>
      <c r="O4" s="271"/>
      <c r="P4" s="271" t="s">
        <v>481</v>
      </c>
      <c r="Q4" s="295" t="s">
        <v>351</v>
      </c>
      <c r="R4" s="296" t="s">
        <v>21</v>
      </c>
    </row>
    <row r="5" spans="1:20" x14ac:dyDescent="0.25">
      <c r="A5" s="25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25"/>
      <c r="M5" s="425"/>
      <c r="N5" s="169"/>
      <c r="O5" s="169"/>
      <c r="P5" s="425"/>
      <c r="Q5" s="266"/>
      <c r="R5" s="257"/>
    </row>
    <row r="6" spans="1:20" x14ac:dyDescent="0.25">
      <c r="A6" s="255"/>
      <c r="B6" s="426"/>
      <c r="C6" s="426"/>
      <c r="D6" s="167"/>
      <c r="E6" s="167"/>
      <c r="F6" s="118" t="s">
        <v>413</v>
      </c>
      <c r="G6" s="167"/>
      <c r="H6" s="167"/>
      <c r="I6" s="167"/>
      <c r="J6" s="167"/>
      <c r="K6" s="167"/>
      <c r="L6" s="425"/>
      <c r="M6" s="425"/>
      <c r="N6" s="169"/>
      <c r="O6" s="118" t="s">
        <v>413</v>
      </c>
      <c r="P6" s="425"/>
      <c r="Q6" s="206"/>
      <c r="R6" s="257"/>
    </row>
    <row r="7" spans="1:20" x14ac:dyDescent="0.25">
      <c r="A7" s="258" t="s">
        <v>345</v>
      </c>
      <c r="Q7" s="267"/>
      <c r="R7" s="257"/>
    </row>
    <row r="8" spans="1:20" x14ac:dyDescent="0.25">
      <c r="A8" s="259" t="s">
        <v>346</v>
      </c>
      <c r="B8" s="191">
        <v>1330.8320000000001</v>
      </c>
      <c r="C8" s="191">
        <v>1059.6590000000001</v>
      </c>
      <c r="D8" s="191">
        <v>1286.434</v>
      </c>
      <c r="E8" s="191">
        <v>1401.1210000000001</v>
      </c>
      <c r="F8" s="191">
        <v>1387.326</v>
      </c>
      <c r="G8" s="191">
        <v>1227.749</v>
      </c>
      <c r="H8" s="191">
        <v>1353.251</v>
      </c>
      <c r="I8" s="191">
        <v>1329.4</v>
      </c>
      <c r="J8" s="191">
        <v>1679.9</v>
      </c>
      <c r="K8" s="191">
        <v>1322.4</v>
      </c>
      <c r="L8" s="294">
        <v>716.3</v>
      </c>
      <c r="M8" s="294">
        <v>1827.5</v>
      </c>
      <c r="N8" s="543">
        <f>237.6+115.7</f>
        <v>353.3</v>
      </c>
      <c r="O8" s="543"/>
      <c r="P8" s="544">
        <f>229.2+203.6</f>
        <v>432.79999999999995</v>
      </c>
      <c r="Q8" s="652">
        <f>P8-N8</f>
        <v>79.499999999999943</v>
      </c>
      <c r="R8" s="260">
        <f>Q8/N8*100</f>
        <v>22.50212284177751</v>
      </c>
    </row>
    <row r="9" spans="1:20" x14ac:dyDescent="0.25">
      <c r="A9" s="259" t="s">
        <v>347</v>
      </c>
      <c r="B9" s="191">
        <v>160.73699999999999</v>
      </c>
      <c r="C9" s="191">
        <v>207.036</v>
      </c>
      <c r="D9" s="191">
        <v>185.077</v>
      </c>
      <c r="E9" s="191">
        <v>124.014</v>
      </c>
      <c r="F9" s="191">
        <v>186.35400000000001</v>
      </c>
      <c r="G9" s="191">
        <v>52.71</v>
      </c>
      <c r="H9" s="191">
        <v>88.638999999999996</v>
      </c>
      <c r="I9" s="191">
        <v>73.2</v>
      </c>
      <c r="J9" s="191">
        <v>30.6</v>
      </c>
      <c r="K9" s="191">
        <v>18.600000000000001</v>
      </c>
      <c r="L9" s="294">
        <v>26.8</v>
      </c>
      <c r="M9" s="294">
        <v>60.6</v>
      </c>
      <c r="N9" s="191">
        <f>32.3+8.4</f>
        <v>40.699999999999996</v>
      </c>
      <c r="O9" s="191"/>
      <c r="P9" s="309">
        <f>18.5+36.1</f>
        <v>54.6</v>
      </c>
      <c r="Q9" s="652">
        <f>P9-N9</f>
        <v>13.900000000000006</v>
      </c>
      <c r="R9" s="260">
        <f>Q9/N9*100</f>
        <v>34.15233415233417</v>
      </c>
    </row>
    <row r="10" spans="1:20" x14ac:dyDescent="0.25">
      <c r="A10" s="259" t="s">
        <v>339</v>
      </c>
      <c r="B10" s="191">
        <f t="shared" ref="B10:H10" si="0">B8+B9</f>
        <v>1491.5690000000002</v>
      </c>
      <c r="C10" s="191">
        <f t="shared" si="0"/>
        <v>1266.6950000000002</v>
      </c>
      <c r="D10" s="191">
        <f t="shared" si="0"/>
        <v>1471.511</v>
      </c>
      <c r="E10" s="191">
        <f t="shared" si="0"/>
        <v>1525.135</v>
      </c>
      <c r="F10" s="191">
        <f t="shared" si="0"/>
        <v>1573.68</v>
      </c>
      <c r="G10" s="191">
        <f t="shared" si="0"/>
        <v>1280.4590000000001</v>
      </c>
      <c r="H10" s="191">
        <f t="shared" si="0"/>
        <v>1441.8899999999999</v>
      </c>
      <c r="I10" s="191">
        <f t="shared" ref="I10:N10" si="1">I8+I9</f>
        <v>1402.6000000000001</v>
      </c>
      <c r="J10" s="191">
        <f t="shared" si="1"/>
        <v>1710.5</v>
      </c>
      <c r="K10" s="191">
        <f t="shared" si="1"/>
        <v>1341</v>
      </c>
      <c r="L10" s="294">
        <f t="shared" si="1"/>
        <v>743.09999999999991</v>
      </c>
      <c r="M10" s="294">
        <f t="shared" si="1"/>
        <v>1888.1</v>
      </c>
      <c r="N10" s="191">
        <f t="shared" si="1"/>
        <v>394</v>
      </c>
      <c r="O10" s="191"/>
      <c r="P10" s="309">
        <f>P8+P9</f>
        <v>487.4</v>
      </c>
      <c r="Q10" s="652">
        <f>P10-N10</f>
        <v>93.399999999999977</v>
      </c>
      <c r="R10" s="260">
        <f>Q10/N10*100</f>
        <v>23.70558375634517</v>
      </c>
    </row>
    <row r="11" spans="1:20" x14ac:dyDescent="0.25">
      <c r="A11" s="25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294"/>
      <c r="M11" s="294"/>
      <c r="N11" s="191"/>
      <c r="O11" s="191"/>
      <c r="P11" s="309"/>
      <c r="Q11" s="652"/>
      <c r="R11" s="260"/>
      <c r="S11" s="189"/>
      <c r="T11" s="189"/>
    </row>
    <row r="12" spans="1:20" x14ac:dyDescent="0.25">
      <c r="A12" s="261" t="s">
        <v>348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294"/>
      <c r="M12" s="294"/>
      <c r="N12" s="191"/>
      <c r="O12" s="191"/>
      <c r="P12" s="309"/>
      <c r="Q12" s="652"/>
      <c r="R12" s="260"/>
      <c r="S12" s="189"/>
      <c r="T12" s="189"/>
    </row>
    <row r="13" spans="1:20" x14ac:dyDescent="0.25">
      <c r="A13" s="259" t="s">
        <v>346</v>
      </c>
      <c r="B13" s="191">
        <v>54.24</v>
      </c>
      <c r="C13" s="191">
        <v>16.808</v>
      </c>
      <c r="D13" s="191">
        <v>18.898</v>
      </c>
      <c r="E13" s="191">
        <v>31.21</v>
      </c>
      <c r="F13" s="191">
        <v>25.574000000000002</v>
      </c>
      <c r="G13" s="191">
        <v>16.545000000000002</v>
      </c>
      <c r="H13" s="191">
        <v>39.860999999999997</v>
      </c>
      <c r="I13" s="191">
        <v>59.5</v>
      </c>
      <c r="J13" s="191">
        <v>40.5</v>
      </c>
      <c r="K13" s="191">
        <v>53.2</v>
      </c>
      <c r="L13" s="294">
        <v>23.5</v>
      </c>
      <c r="M13" s="294">
        <v>16.8</v>
      </c>
      <c r="N13" s="191">
        <f>3.6+3.2</f>
        <v>6.8000000000000007</v>
      </c>
      <c r="O13" s="191"/>
      <c r="P13" s="309">
        <f>7.1+2.1</f>
        <v>9.1999999999999993</v>
      </c>
      <c r="Q13" s="652">
        <f>P13-N13</f>
        <v>2.3999999999999986</v>
      </c>
      <c r="R13" s="260">
        <f>Q13/N13*100</f>
        <v>35.294117647058798</v>
      </c>
      <c r="S13" s="189"/>
      <c r="T13" s="189"/>
    </row>
    <row r="14" spans="1:20" x14ac:dyDescent="0.25">
      <c r="A14" s="259" t="s">
        <v>347</v>
      </c>
      <c r="B14" s="191">
        <v>134.77099999999999</v>
      </c>
      <c r="C14" s="191">
        <v>74.751000000000005</v>
      </c>
      <c r="D14" s="191">
        <v>85.275999999999996</v>
      </c>
      <c r="E14" s="191">
        <v>95.278999999999996</v>
      </c>
      <c r="F14" s="191">
        <v>188.66900000000001</v>
      </c>
      <c r="G14" s="191">
        <v>65.183999999999997</v>
      </c>
      <c r="H14" s="191">
        <v>152.857</v>
      </c>
      <c r="I14" s="191">
        <v>86.7</v>
      </c>
      <c r="J14" s="191">
        <v>157.1</v>
      </c>
      <c r="K14" s="191">
        <v>80.8</v>
      </c>
      <c r="L14" s="294">
        <v>39.200000000000003</v>
      </c>
      <c r="M14" s="294">
        <v>109.8</v>
      </c>
      <c r="N14" s="191">
        <f>6.1+0.4</f>
        <v>6.5</v>
      </c>
      <c r="O14" s="191"/>
      <c r="P14" s="309">
        <f>30.3+59.8</f>
        <v>90.1</v>
      </c>
      <c r="Q14" s="652">
        <f>P14-N14</f>
        <v>83.6</v>
      </c>
      <c r="R14" s="698">
        <f>Q14/N14*100</f>
        <v>1286.153846153846</v>
      </c>
      <c r="S14" s="189"/>
      <c r="T14" s="189"/>
    </row>
    <row r="15" spans="1:20" x14ac:dyDescent="0.25">
      <c r="A15" s="259" t="s">
        <v>339</v>
      </c>
      <c r="B15" s="191">
        <f t="shared" ref="B15:H15" si="2">B13+B14</f>
        <v>189.011</v>
      </c>
      <c r="C15" s="191">
        <f t="shared" si="2"/>
        <v>91.558999999999997</v>
      </c>
      <c r="D15" s="191">
        <f t="shared" si="2"/>
        <v>104.17399999999999</v>
      </c>
      <c r="E15" s="191">
        <f t="shared" si="2"/>
        <v>126.489</v>
      </c>
      <c r="F15" s="191">
        <f t="shared" si="2"/>
        <v>214.24300000000002</v>
      </c>
      <c r="G15" s="191">
        <f t="shared" si="2"/>
        <v>81.728999999999999</v>
      </c>
      <c r="H15" s="191">
        <f t="shared" si="2"/>
        <v>192.71799999999999</v>
      </c>
      <c r="I15" s="191">
        <f t="shared" ref="I15:N15" si="3">I13+I14</f>
        <v>146.19999999999999</v>
      </c>
      <c r="J15" s="191">
        <f t="shared" si="3"/>
        <v>197.6</v>
      </c>
      <c r="K15" s="191">
        <f t="shared" si="3"/>
        <v>134</v>
      </c>
      <c r="L15" s="294">
        <f t="shared" si="3"/>
        <v>62.7</v>
      </c>
      <c r="M15" s="294">
        <f t="shared" si="3"/>
        <v>126.6</v>
      </c>
      <c r="N15" s="191">
        <f t="shared" si="3"/>
        <v>13.3</v>
      </c>
      <c r="O15" s="191"/>
      <c r="P15" s="309">
        <f>P13+P14</f>
        <v>99.3</v>
      </c>
      <c r="Q15" s="652">
        <f>P15-N15</f>
        <v>86</v>
      </c>
      <c r="R15" s="260">
        <f>Q15/N15*100</f>
        <v>646.61654135338335</v>
      </c>
      <c r="S15" s="189"/>
      <c r="T15" s="189"/>
    </row>
    <row r="16" spans="1:20" x14ac:dyDescent="0.25">
      <c r="A16" s="25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94"/>
      <c r="M16" s="294"/>
      <c r="N16" s="191"/>
      <c r="O16" s="191"/>
      <c r="P16" s="309"/>
      <c r="Q16" s="652"/>
      <c r="R16" s="260"/>
      <c r="S16" s="189"/>
      <c r="T16" s="189"/>
    </row>
    <row r="17" spans="1:29" x14ac:dyDescent="0.25">
      <c r="A17" s="261" t="s">
        <v>349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94"/>
      <c r="M17" s="294"/>
      <c r="N17" s="191"/>
      <c r="O17" s="191"/>
      <c r="P17" s="309"/>
      <c r="Q17" s="652"/>
      <c r="R17" s="260"/>
      <c r="S17" s="189"/>
      <c r="T17" s="189"/>
    </row>
    <row r="18" spans="1:29" x14ac:dyDescent="0.25">
      <c r="A18" s="259" t="s">
        <v>346</v>
      </c>
      <c r="B18" s="191">
        <v>1063.4269999999999</v>
      </c>
      <c r="C18" s="191">
        <v>964.76599999999996</v>
      </c>
      <c r="D18" s="191">
        <v>1095.3440000000001</v>
      </c>
      <c r="E18" s="191">
        <v>968.49900000000002</v>
      </c>
      <c r="F18" s="191">
        <v>903.60900000000004</v>
      </c>
      <c r="G18" s="191">
        <v>904.95399999999995</v>
      </c>
      <c r="H18" s="191">
        <v>865.92899999999997</v>
      </c>
      <c r="I18" s="191">
        <v>900.2</v>
      </c>
      <c r="J18" s="191">
        <v>654.5</v>
      </c>
      <c r="K18" s="191">
        <v>812</v>
      </c>
      <c r="L18" s="294">
        <v>750</v>
      </c>
      <c r="M18" s="294">
        <v>827.1</v>
      </c>
      <c r="N18" s="191">
        <f>176.1+131.4</f>
        <v>307.5</v>
      </c>
      <c r="O18" s="191"/>
      <c r="P18" s="309">
        <f>140.8+110.2</f>
        <v>251</v>
      </c>
      <c r="Q18" s="652">
        <f>P18-N18</f>
        <v>-56.5</v>
      </c>
      <c r="R18" s="260">
        <f>Q18/N18*100</f>
        <v>-18.373983739837399</v>
      </c>
      <c r="S18" s="189"/>
      <c r="T18" s="189"/>
    </row>
    <row r="19" spans="1:29" x14ac:dyDescent="0.25">
      <c r="A19" s="259" t="s">
        <v>347</v>
      </c>
      <c r="B19" s="191">
        <v>682.65099999999995</v>
      </c>
      <c r="C19" s="191">
        <v>717.69600000000003</v>
      </c>
      <c r="D19" s="191">
        <v>595.96900000000005</v>
      </c>
      <c r="E19" s="191">
        <v>739.45600000000002</v>
      </c>
      <c r="F19" s="191">
        <v>828.10500000000002</v>
      </c>
      <c r="G19" s="191">
        <v>548.88199999999995</v>
      </c>
      <c r="H19" s="191">
        <v>577.71400000000006</v>
      </c>
      <c r="I19" s="191">
        <v>686.5</v>
      </c>
      <c r="J19" s="191">
        <v>633.4</v>
      </c>
      <c r="K19" s="191">
        <v>462.2</v>
      </c>
      <c r="L19" s="294">
        <v>293</v>
      </c>
      <c r="M19" s="294">
        <v>471.3</v>
      </c>
      <c r="N19" s="191">
        <f>57.7+53.5</f>
        <v>111.2</v>
      </c>
      <c r="O19" s="191"/>
      <c r="P19" s="309">
        <f>110.4+77.6</f>
        <v>188</v>
      </c>
      <c r="Q19" s="652">
        <f>P19-N19</f>
        <v>76.8</v>
      </c>
      <c r="R19" s="260">
        <f>Q19/N19*100</f>
        <v>69.064748201438846</v>
      </c>
    </row>
    <row r="20" spans="1:29" x14ac:dyDescent="0.25">
      <c r="A20" s="259" t="s">
        <v>339</v>
      </c>
      <c r="B20" s="191">
        <f t="shared" ref="B20:H20" si="4">B18+B19</f>
        <v>1746.078</v>
      </c>
      <c r="C20" s="191">
        <f t="shared" si="4"/>
        <v>1682.462</v>
      </c>
      <c r="D20" s="191">
        <f t="shared" si="4"/>
        <v>1691.3130000000001</v>
      </c>
      <c r="E20" s="191">
        <f t="shared" si="4"/>
        <v>1707.9549999999999</v>
      </c>
      <c r="F20" s="191">
        <f t="shared" si="4"/>
        <v>1731.7139999999999</v>
      </c>
      <c r="G20" s="191">
        <f t="shared" si="4"/>
        <v>1453.8359999999998</v>
      </c>
      <c r="H20" s="191">
        <f t="shared" si="4"/>
        <v>1443.643</v>
      </c>
      <c r="I20" s="191">
        <f t="shared" ref="I20:N20" si="5">I18+I19</f>
        <v>1586.7</v>
      </c>
      <c r="J20" s="191">
        <f t="shared" si="5"/>
        <v>1287.9000000000001</v>
      </c>
      <c r="K20" s="191">
        <f t="shared" si="5"/>
        <v>1274.2</v>
      </c>
      <c r="L20" s="294">
        <f t="shared" si="5"/>
        <v>1043</v>
      </c>
      <c r="M20" s="294">
        <f t="shared" si="5"/>
        <v>1298.4000000000001</v>
      </c>
      <c r="N20" s="191">
        <f t="shared" si="5"/>
        <v>418.7</v>
      </c>
      <c r="O20" s="191"/>
      <c r="P20" s="309">
        <f>P18+P19</f>
        <v>439</v>
      </c>
      <c r="Q20" s="652">
        <f>P20-N20</f>
        <v>20.300000000000011</v>
      </c>
      <c r="R20" s="260">
        <f>Q20/N20*100</f>
        <v>4.8483401003104882</v>
      </c>
    </row>
    <row r="21" spans="1:29" x14ac:dyDescent="0.25">
      <c r="A21" s="259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4"/>
      <c r="M21" s="294"/>
      <c r="N21" s="191"/>
      <c r="O21" s="191"/>
      <c r="P21" s="309"/>
      <c r="Q21" s="652"/>
      <c r="R21" s="260"/>
    </row>
    <row r="22" spans="1:29" x14ac:dyDescent="0.25">
      <c r="A22" s="261" t="s">
        <v>350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294"/>
      <c r="M22" s="294"/>
      <c r="N22" s="191"/>
      <c r="O22" s="191"/>
      <c r="P22" s="309"/>
      <c r="Q22" s="652"/>
      <c r="R22" s="260"/>
    </row>
    <row r="23" spans="1:29" x14ac:dyDescent="0.25">
      <c r="A23" s="259" t="s">
        <v>346</v>
      </c>
      <c r="B23" s="191">
        <f t="shared" ref="B23:H23" si="6">B8+B13+B18</f>
        <v>2448.4989999999998</v>
      </c>
      <c r="C23" s="191">
        <f t="shared" si="6"/>
        <v>2041.2330000000002</v>
      </c>
      <c r="D23" s="191">
        <f t="shared" si="6"/>
        <v>2400.6759999999999</v>
      </c>
      <c r="E23" s="191">
        <f t="shared" si="6"/>
        <v>2400.83</v>
      </c>
      <c r="F23" s="191">
        <f t="shared" si="6"/>
        <v>2316.509</v>
      </c>
      <c r="G23" s="191">
        <f t="shared" si="6"/>
        <v>2149.248</v>
      </c>
      <c r="H23" s="191">
        <f t="shared" si="6"/>
        <v>2259.0410000000002</v>
      </c>
      <c r="I23" s="191">
        <f t="shared" ref="I23:J24" si="7">I8+I13+I18</f>
        <v>2289.1000000000004</v>
      </c>
      <c r="J23" s="191">
        <f t="shared" si="7"/>
        <v>2374.9</v>
      </c>
      <c r="K23" s="191">
        <f t="shared" ref="K23" si="8">K8+K13+K18</f>
        <v>2187.6000000000004</v>
      </c>
      <c r="L23" s="294">
        <f t="shared" ref="L23:N24" si="9">L8+L13+L18</f>
        <v>1489.8</v>
      </c>
      <c r="M23" s="294">
        <f t="shared" si="9"/>
        <v>2671.4</v>
      </c>
      <c r="N23" s="191">
        <f t="shared" si="9"/>
        <v>667.6</v>
      </c>
      <c r="O23" s="191"/>
      <c r="P23" s="309">
        <f>P8+P13+P18</f>
        <v>693</v>
      </c>
      <c r="Q23" s="652">
        <f>P23-N23</f>
        <v>25.399999999999977</v>
      </c>
      <c r="R23" s="260">
        <f>Q23/N23*100</f>
        <v>3.8046734571599723</v>
      </c>
    </row>
    <row r="24" spans="1:29" x14ac:dyDescent="0.25">
      <c r="A24" s="259" t="s">
        <v>347</v>
      </c>
      <c r="B24" s="191">
        <f t="shared" ref="B24:H24" si="10">B9+B14+B19</f>
        <v>978.15899999999988</v>
      </c>
      <c r="C24" s="191">
        <f t="shared" si="10"/>
        <v>999.48300000000006</v>
      </c>
      <c r="D24" s="191">
        <f t="shared" si="10"/>
        <v>866.32200000000012</v>
      </c>
      <c r="E24" s="191">
        <f t="shared" si="10"/>
        <v>958.74900000000002</v>
      </c>
      <c r="F24" s="191">
        <f t="shared" si="10"/>
        <v>1203.1280000000002</v>
      </c>
      <c r="G24" s="191">
        <f t="shared" si="10"/>
        <v>666.77599999999995</v>
      </c>
      <c r="H24" s="191">
        <f t="shared" si="10"/>
        <v>819.21</v>
      </c>
      <c r="I24" s="191">
        <f t="shared" si="7"/>
        <v>846.4</v>
      </c>
      <c r="J24" s="191">
        <f t="shared" si="7"/>
        <v>821.09999999999991</v>
      </c>
      <c r="K24" s="191">
        <f t="shared" ref="K24" si="11">K9+K14+K19</f>
        <v>561.6</v>
      </c>
      <c r="L24" s="294">
        <f t="shared" si="9"/>
        <v>359</v>
      </c>
      <c r="M24" s="294">
        <f t="shared" si="9"/>
        <v>641.70000000000005</v>
      </c>
      <c r="N24" s="191">
        <f t="shared" si="9"/>
        <v>158.4</v>
      </c>
      <c r="O24" s="191"/>
      <c r="P24" s="309">
        <f>P9+P14+P19</f>
        <v>332.7</v>
      </c>
      <c r="Q24" s="652">
        <f>P24-N24</f>
        <v>174.29999999999998</v>
      </c>
      <c r="R24" s="260">
        <f>Q24/N24*100</f>
        <v>110.03787878787877</v>
      </c>
    </row>
    <row r="25" spans="1:29" s="190" customFormat="1" ht="13.8" thickBot="1" x14ac:dyDescent="0.3">
      <c r="A25" s="301" t="s">
        <v>339</v>
      </c>
      <c r="B25" s="302">
        <f t="shared" ref="B25:H25" si="12">B23+B24</f>
        <v>3426.6579999999994</v>
      </c>
      <c r="C25" s="302">
        <f t="shared" si="12"/>
        <v>3040.7160000000003</v>
      </c>
      <c r="D25" s="302">
        <f t="shared" si="12"/>
        <v>3266.998</v>
      </c>
      <c r="E25" s="302">
        <f t="shared" si="12"/>
        <v>3359.5789999999997</v>
      </c>
      <c r="F25" s="302">
        <f t="shared" si="12"/>
        <v>3519.6370000000002</v>
      </c>
      <c r="G25" s="302">
        <f t="shared" si="12"/>
        <v>2816.0239999999999</v>
      </c>
      <c r="H25" s="302">
        <f t="shared" si="12"/>
        <v>3078.2510000000002</v>
      </c>
      <c r="I25" s="302">
        <f>I23+I24</f>
        <v>3135.5000000000005</v>
      </c>
      <c r="J25" s="302">
        <f>J23+J24-0.1</f>
        <v>3195.9</v>
      </c>
      <c r="K25" s="302">
        <f>K23+K24</f>
        <v>2749.2000000000003</v>
      </c>
      <c r="L25" s="303">
        <f>L23+L24-0.1</f>
        <v>1848.7</v>
      </c>
      <c r="M25" s="303">
        <f>M23+M24</f>
        <v>3313.1000000000004</v>
      </c>
      <c r="N25" s="302">
        <f>513.4+312.7</f>
        <v>826.09999999999991</v>
      </c>
      <c r="O25" s="302"/>
      <c r="P25" s="310">
        <f>536.3+489.4</f>
        <v>1025.6999999999998</v>
      </c>
      <c r="Q25" s="653">
        <f>P25-N25</f>
        <v>199.59999999999991</v>
      </c>
      <c r="R25" s="304">
        <f>Q25/N25*100</f>
        <v>24.161723762256376</v>
      </c>
    </row>
    <row r="26" spans="1:29" s="67" customFormat="1" ht="16.5" customHeight="1" x14ac:dyDescent="0.2">
      <c r="A26" s="732" t="s">
        <v>385</v>
      </c>
      <c r="B26" s="732"/>
      <c r="C26" s="732"/>
      <c r="D26" s="733"/>
      <c r="E26" s="733"/>
      <c r="F26" s="733"/>
      <c r="G26" s="733"/>
      <c r="L26" s="73"/>
      <c r="M26" s="73"/>
      <c r="N26" s="142"/>
      <c r="O26" s="142"/>
      <c r="P26" s="73"/>
      <c r="Q26" s="142"/>
      <c r="R26" s="142"/>
      <c r="S26" s="142"/>
      <c r="T26" s="142"/>
      <c r="U26" s="142"/>
      <c r="V26"/>
      <c r="W26" s="142"/>
      <c r="AC26" s="68"/>
    </row>
    <row r="27" spans="1:29" s="67" customFormat="1" ht="11.25" customHeight="1" x14ac:dyDescent="0.2">
      <c r="A27" s="67" t="s">
        <v>319</v>
      </c>
      <c r="L27" s="73"/>
      <c r="M27" s="73"/>
      <c r="N27" s="142"/>
      <c r="O27" s="142"/>
      <c r="P27" s="73"/>
      <c r="Q27" s="142"/>
      <c r="R27" s="142"/>
      <c r="S27" s="142"/>
      <c r="T27" s="142"/>
      <c r="U27" s="142"/>
      <c r="V27"/>
      <c r="W27" s="142"/>
      <c r="AC27" s="68"/>
    </row>
    <row r="28" spans="1:29" s="67" customFormat="1" ht="12" customHeight="1" x14ac:dyDescent="0.2">
      <c r="A28" s="6" t="s">
        <v>477</v>
      </c>
      <c r="B28" s="6"/>
      <c r="C28" s="6"/>
      <c r="L28" s="73"/>
      <c r="M28" s="73"/>
      <c r="N28" s="142"/>
      <c r="O28" s="142"/>
      <c r="P28" s="73"/>
      <c r="Q28" s="142"/>
      <c r="R28" s="142"/>
      <c r="S28" s="142"/>
      <c r="T28" s="142"/>
      <c r="U28" s="142"/>
      <c r="V28"/>
      <c r="W28" s="142"/>
      <c r="AC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0"/>
  <sheetViews>
    <sheetView showGridLines="0" zoomScale="145" zoomScaleNormal="14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101" sqref="C101"/>
    </sheetView>
  </sheetViews>
  <sheetFormatPr defaultColWidth="9.6640625" defaultRowHeight="11.4" x14ac:dyDescent="0.2"/>
  <cols>
    <col min="1" max="1" width="18.44140625" style="158" customWidth="1"/>
    <col min="2" max="3" width="12" style="83" customWidth="1"/>
    <col min="4" max="4" width="1.77734375" style="83" customWidth="1"/>
    <col min="5" max="5" width="13.77734375" style="85" customWidth="1"/>
    <col min="6" max="6" width="5.6640625" style="83" customWidth="1"/>
    <col min="7" max="7" width="10" style="49" customWidth="1"/>
    <col min="8" max="8" width="13.109375" style="83" customWidth="1"/>
    <col min="9" max="9" width="13.21875" style="84" customWidth="1"/>
    <col min="10" max="10" width="9.6640625" style="83" customWidth="1"/>
    <col min="11" max="11" width="10.33203125" style="83" customWidth="1"/>
    <col min="12" max="12" width="10.109375" style="83" customWidth="1"/>
    <col min="13" max="13" width="2.6640625" style="83" customWidth="1"/>
    <col min="14" max="14" width="11.44140625" style="83" customWidth="1"/>
    <col min="15" max="16384" width="9.6640625" style="83"/>
  </cols>
  <sheetData>
    <row r="1" spans="1:27" s="158" customFormat="1" x14ac:dyDescent="0.2">
      <c r="A1" s="454" t="s">
        <v>342</v>
      </c>
      <c r="B1" s="455"/>
      <c r="C1" s="455"/>
      <c r="D1" s="455"/>
      <c r="E1" s="455"/>
      <c r="F1" s="455"/>
      <c r="G1" s="456"/>
      <c r="H1" s="455"/>
      <c r="I1" s="455"/>
      <c r="J1" s="455"/>
      <c r="K1" s="455"/>
      <c r="L1" s="455"/>
      <c r="M1" s="455"/>
      <c r="N1" s="457"/>
    </row>
    <row r="2" spans="1:27" s="158" customFormat="1" x14ac:dyDescent="0.2">
      <c r="A2" s="458"/>
      <c r="B2" s="306"/>
      <c r="C2" s="306"/>
      <c r="D2" s="306"/>
      <c r="E2" s="306"/>
      <c r="F2" s="306"/>
      <c r="G2" s="307"/>
      <c r="H2" s="306"/>
      <c r="I2" s="306"/>
      <c r="J2" s="306"/>
      <c r="K2" s="306"/>
      <c r="L2" s="306"/>
      <c r="M2" s="306"/>
      <c r="N2" s="459"/>
    </row>
    <row r="3" spans="1:27" s="91" customFormat="1" ht="12" customHeight="1" x14ac:dyDescent="0.2">
      <c r="A3" s="458"/>
      <c r="B3" s="159"/>
      <c r="C3" s="159" t="s">
        <v>439</v>
      </c>
      <c r="D3" s="159"/>
      <c r="E3" s="159"/>
      <c r="F3" s="159"/>
      <c r="G3" s="170"/>
      <c r="H3" s="159"/>
      <c r="I3" s="159"/>
      <c r="J3" s="159"/>
      <c r="K3" s="159"/>
      <c r="L3" s="159"/>
      <c r="M3" s="159"/>
      <c r="N3" s="460"/>
    </row>
    <row r="4" spans="1:27" s="91" customFormat="1" ht="12" customHeight="1" thickBot="1" x14ac:dyDescent="0.25">
      <c r="A4" s="458" t="s">
        <v>168</v>
      </c>
      <c r="B4" s="159" t="s">
        <v>167</v>
      </c>
      <c r="C4" s="159" t="s">
        <v>167</v>
      </c>
      <c r="D4" s="159"/>
      <c r="E4" s="159" t="s">
        <v>166</v>
      </c>
      <c r="F4" s="159"/>
      <c r="G4" s="171"/>
      <c r="H4" s="160" t="s">
        <v>165</v>
      </c>
      <c r="I4" s="160" t="s">
        <v>294</v>
      </c>
      <c r="J4" s="160"/>
      <c r="K4" s="160"/>
      <c r="L4" s="160"/>
      <c r="M4" s="305"/>
      <c r="N4" s="460" t="s">
        <v>164</v>
      </c>
    </row>
    <row r="5" spans="1:27" s="91" customFormat="1" ht="12" customHeight="1" x14ac:dyDescent="0.2">
      <c r="A5" s="458" t="s">
        <v>163</v>
      </c>
      <c r="B5" s="159" t="s">
        <v>162</v>
      </c>
      <c r="C5" s="159" t="s">
        <v>162</v>
      </c>
      <c r="D5" s="159"/>
      <c r="E5" s="159" t="s">
        <v>161</v>
      </c>
      <c r="F5" s="159"/>
      <c r="G5" s="170" t="s">
        <v>292</v>
      </c>
      <c r="H5" s="161" t="s">
        <v>327</v>
      </c>
      <c r="I5" s="161" t="s">
        <v>325</v>
      </c>
      <c r="J5" s="161">
        <v>0.15</v>
      </c>
      <c r="K5" s="161">
        <v>0.25</v>
      </c>
      <c r="L5" s="159" t="s">
        <v>160</v>
      </c>
      <c r="M5" s="159"/>
      <c r="N5" s="461">
        <v>0.05</v>
      </c>
    </row>
    <row r="6" spans="1:27" s="91" customFormat="1" ht="13.95" customHeight="1" x14ac:dyDescent="0.2">
      <c r="A6" s="462" t="s">
        <v>102</v>
      </c>
      <c r="B6" s="283" t="s">
        <v>159</v>
      </c>
      <c r="C6" s="283" t="s">
        <v>158</v>
      </c>
      <c r="D6" s="283"/>
      <c r="E6" s="283" t="s">
        <v>157</v>
      </c>
      <c r="F6" s="283"/>
      <c r="G6" s="284" t="s">
        <v>293</v>
      </c>
      <c r="H6" s="283" t="s">
        <v>156</v>
      </c>
      <c r="I6" s="283" t="s">
        <v>388</v>
      </c>
      <c r="J6" s="283" t="s">
        <v>389</v>
      </c>
      <c r="K6" s="283" t="s">
        <v>389</v>
      </c>
      <c r="L6" s="283" t="s">
        <v>390</v>
      </c>
      <c r="M6" s="283"/>
      <c r="N6" s="463" t="s">
        <v>391</v>
      </c>
    </row>
    <row r="7" spans="1:27" ht="12.6" customHeight="1" x14ac:dyDescent="0.2">
      <c r="A7" s="662"/>
      <c r="B7" s="663"/>
      <c r="C7" s="663"/>
      <c r="D7" s="663"/>
      <c r="E7" s="664"/>
      <c r="F7" s="663"/>
      <c r="G7" s="665"/>
      <c r="H7" s="663"/>
      <c r="I7" s="666"/>
      <c r="J7" s="663"/>
      <c r="K7" s="663"/>
      <c r="L7" s="663"/>
      <c r="M7" s="663"/>
      <c r="N7" s="667"/>
      <c r="Q7" s="86"/>
    </row>
    <row r="8" spans="1:27" ht="13.2" customHeight="1" x14ac:dyDescent="0.2">
      <c r="A8" s="464"/>
      <c r="E8" s="88"/>
      <c r="G8" s="263"/>
      <c r="H8" s="668" t="s">
        <v>440</v>
      </c>
      <c r="N8" s="465"/>
      <c r="Q8" s="86"/>
      <c r="AA8" s="86"/>
    </row>
    <row r="9" spans="1:27" ht="9" customHeight="1" x14ac:dyDescent="0.2">
      <c r="A9" s="464"/>
      <c r="E9" s="88"/>
      <c r="G9" s="263"/>
      <c r="N9" s="465"/>
      <c r="Q9" s="86"/>
    </row>
    <row r="10" spans="1:27" ht="14.4" customHeight="1" x14ac:dyDescent="0.2">
      <c r="A10" s="464"/>
      <c r="B10" s="84"/>
      <c r="C10" s="84"/>
      <c r="D10" s="84"/>
      <c r="E10" s="88"/>
      <c r="F10" s="84"/>
      <c r="G10" s="264"/>
      <c r="H10" s="84"/>
      <c r="J10" s="84"/>
      <c r="K10" s="84"/>
      <c r="L10" s="84"/>
      <c r="M10" s="84"/>
      <c r="N10" s="466"/>
    </row>
    <row r="11" spans="1:27" ht="12.75" customHeight="1" x14ac:dyDescent="0.2">
      <c r="A11" s="464" t="s">
        <v>25</v>
      </c>
      <c r="B11" s="173">
        <v>559.9083333333333</v>
      </c>
      <c r="C11" s="173">
        <v>339.22916666666669</v>
      </c>
      <c r="D11" s="173"/>
      <c r="E11" s="179">
        <v>702.91666666666663</v>
      </c>
      <c r="F11" s="173"/>
      <c r="G11" s="173">
        <v>1054</v>
      </c>
      <c r="H11" s="173">
        <v>592</v>
      </c>
      <c r="I11" s="173">
        <v>586.66666666666663</v>
      </c>
      <c r="J11" s="173">
        <v>571</v>
      </c>
      <c r="K11" s="173">
        <v>557</v>
      </c>
      <c r="L11" s="173">
        <v>520.83333333333337</v>
      </c>
      <c r="M11" s="173"/>
      <c r="N11" s="467">
        <v>476.75</v>
      </c>
    </row>
    <row r="12" spans="1:27" ht="12.75" customHeight="1" x14ac:dyDescent="0.2">
      <c r="A12" s="464" t="s">
        <v>155</v>
      </c>
      <c r="B12" s="173">
        <v>614.83333333333337</v>
      </c>
      <c r="C12" s="173">
        <v>371.75</v>
      </c>
      <c r="D12" s="173"/>
      <c r="E12" s="179">
        <v>702.75</v>
      </c>
      <c r="F12" s="173"/>
      <c r="G12" s="173">
        <v>1098</v>
      </c>
      <c r="H12" s="173">
        <v>564.83333333333337</v>
      </c>
      <c r="I12" s="173">
        <v>568.25</v>
      </c>
      <c r="J12" s="173">
        <v>527.5</v>
      </c>
      <c r="K12" s="173">
        <v>523</v>
      </c>
      <c r="L12" s="173">
        <v>514.66666666666663</v>
      </c>
      <c r="M12" s="173"/>
      <c r="N12" s="467">
        <v>410.16666666666669</v>
      </c>
    </row>
    <row r="13" spans="1:27" ht="12" customHeight="1" x14ac:dyDescent="0.2">
      <c r="A13" s="464" t="s">
        <v>154</v>
      </c>
      <c r="B13" s="173">
        <v>588.25</v>
      </c>
      <c r="C13" s="173">
        <v>379.66666666666669</v>
      </c>
      <c r="D13" s="173"/>
      <c r="E13" s="173">
        <v>838.18181818181813</v>
      </c>
      <c r="F13" s="173"/>
      <c r="G13" s="173">
        <v>1036</v>
      </c>
      <c r="H13" s="173">
        <v>428</v>
      </c>
      <c r="I13" s="173">
        <v>441.16666666666669</v>
      </c>
      <c r="J13" s="173">
        <v>386</v>
      </c>
      <c r="K13" s="173">
        <v>375</v>
      </c>
      <c r="L13" s="173">
        <v>349.16666666666669</v>
      </c>
      <c r="M13" s="173"/>
      <c r="N13" s="467">
        <v>399</v>
      </c>
    </row>
    <row r="14" spans="1:27" ht="12.75" customHeight="1" x14ac:dyDescent="0.2">
      <c r="A14" s="464" t="s">
        <v>153</v>
      </c>
      <c r="B14" s="173">
        <v>505.5</v>
      </c>
      <c r="C14" s="173">
        <v>277.75</v>
      </c>
      <c r="D14" s="173"/>
      <c r="E14" s="173">
        <v>911.33333333333337</v>
      </c>
      <c r="F14" s="173"/>
      <c r="G14" s="173">
        <v>932</v>
      </c>
      <c r="H14" s="173">
        <v>419.75</v>
      </c>
      <c r="I14" s="173">
        <v>407.91666666666669</v>
      </c>
      <c r="J14" s="173">
        <v>385.125</v>
      </c>
      <c r="K14" s="173">
        <v>369</v>
      </c>
      <c r="L14" s="173">
        <v>328.16666666666669</v>
      </c>
      <c r="M14" s="173"/>
      <c r="N14" s="467">
        <v>389</v>
      </c>
    </row>
    <row r="15" spans="1:27" ht="12.75" customHeight="1" x14ac:dyDescent="0.2">
      <c r="A15" s="464" t="s">
        <v>30</v>
      </c>
      <c r="B15" s="173">
        <v>521.66666666666663</v>
      </c>
      <c r="C15" s="173">
        <v>284.25</v>
      </c>
      <c r="D15" s="173"/>
      <c r="E15" s="173">
        <v>767.5</v>
      </c>
      <c r="F15" s="173"/>
      <c r="G15" s="173">
        <v>750</v>
      </c>
      <c r="H15" s="173">
        <v>386</v>
      </c>
      <c r="I15" s="173">
        <v>380.83333333333331</v>
      </c>
      <c r="J15" s="173">
        <v>366.25</v>
      </c>
      <c r="K15" s="173">
        <v>370</v>
      </c>
      <c r="L15" s="173">
        <v>321</v>
      </c>
      <c r="M15" s="173"/>
      <c r="N15" s="467">
        <v>364.16666666666669</v>
      </c>
    </row>
    <row r="16" spans="1:27" ht="4.5" customHeight="1" x14ac:dyDescent="0.2">
      <c r="A16" s="46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467"/>
    </row>
    <row r="17" spans="1:14" ht="12.75" customHeight="1" x14ac:dyDescent="0.2">
      <c r="A17" s="464" t="s">
        <v>247</v>
      </c>
      <c r="B17" s="173">
        <v>474</v>
      </c>
      <c r="C17" s="173">
        <v>253.58333333333334</v>
      </c>
      <c r="D17" s="173"/>
      <c r="E17" s="173">
        <v>611.08333333333337</v>
      </c>
      <c r="F17" s="173"/>
      <c r="G17" s="173">
        <v>640</v>
      </c>
      <c r="H17" s="173">
        <v>394.08333333333331</v>
      </c>
      <c r="I17" s="173">
        <v>387</v>
      </c>
      <c r="J17" s="173">
        <v>367.91666666666669</v>
      </c>
      <c r="K17" s="173">
        <v>356.41666666666669</v>
      </c>
      <c r="L17" s="183" t="s">
        <v>152</v>
      </c>
      <c r="M17" s="183"/>
      <c r="N17" s="467">
        <v>357.16666666666669</v>
      </c>
    </row>
    <row r="18" spans="1:14" ht="12.75" customHeight="1" x14ac:dyDescent="0.2">
      <c r="A18" s="464" t="s">
        <v>32</v>
      </c>
      <c r="B18" s="173">
        <v>583.75</v>
      </c>
      <c r="C18" s="173">
        <v>313</v>
      </c>
      <c r="D18" s="173"/>
      <c r="E18" s="173">
        <v>868.25</v>
      </c>
      <c r="F18" s="173"/>
      <c r="G18" s="173">
        <v>1040</v>
      </c>
      <c r="H18" s="173">
        <v>418.33333333333331</v>
      </c>
      <c r="I18" s="173">
        <v>412.33333333333331</v>
      </c>
      <c r="J18" s="173">
        <v>393.5</v>
      </c>
      <c r="K18" s="173">
        <v>384.91666666666669</v>
      </c>
      <c r="L18" s="183" t="s">
        <v>152</v>
      </c>
      <c r="M18" s="183"/>
      <c r="N18" s="467">
        <v>414.83333333333331</v>
      </c>
    </row>
    <row r="19" spans="1:14" ht="12.75" customHeight="1" x14ac:dyDescent="0.2">
      <c r="A19" s="464" t="s">
        <v>251</v>
      </c>
      <c r="B19" s="173">
        <v>537.33333333333337</v>
      </c>
      <c r="C19" s="173">
        <v>285.25</v>
      </c>
      <c r="D19" s="173"/>
      <c r="E19" s="173">
        <v>866.16666666666663</v>
      </c>
      <c r="F19" s="173"/>
      <c r="G19" s="173">
        <v>1070</v>
      </c>
      <c r="H19" s="173">
        <v>398.58333333333331</v>
      </c>
      <c r="I19" s="173">
        <v>389</v>
      </c>
      <c r="J19" s="173">
        <v>381.66666666666669</v>
      </c>
      <c r="K19" s="173">
        <v>379.66666666666669</v>
      </c>
      <c r="L19" s="183" t="s">
        <v>152</v>
      </c>
      <c r="M19" s="183"/>
      <c r="N19" s="467">
        <v>378.91666666666669</v>
      </c>
    </row>
    <row r="20" spans="1:14" ht="12.75" customHeight="1" x14ac:dyDescent="0.2">
      <c r="A20" s="464" t="s">
        <v>265</v>
      </c>
      <c r="B20" s="173">
        <v>608.91666666666663</v>
      </c>
      <c r="C20" s="173">
        <v>346.83333333333331</v>
      </c>
      <c r="D20" s="173"/>
      <c r="E20" s="173">
        <v>858.08333333333337</v>
      </c>
      <c r="F20" s="173"/>
      <c r="G20" s="173">
        <v>1065</v>
      </c>
      <c r="H20" s="173">
        <v>456.58333333333331</v>
      </c>
      <c r="I20" s="173">
        <v>446.33333333333331</v>
      </c>
      <c r="J20" s="173">
        <v>441.33333333333331</v>
      </c>
      <c r="K20" s="173">
        <v>438.75</v>
      </c>
      <c r="L20" s="183" t="s">
        <v>152</v>
      </c>
      <c r="M20" s="183"/>
      <c r="N20" s="467">
        <v>387.33333333333331</v>
      </c>
    </row>
    <row r="21" spans="1:14" ht="7.5" customHeight="1" x14ac:dyDescent="0.2">
      <c r="A21" s="464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83"/>
      <c r="M21" s="183"/>
      <c r="N21" s="467"/>
    </row>
    <row r="22" spans="1:14" ht="12.75" customHeight="1" x14ac:dyDescent="0.2">
      <c r="A22" s="464" t="s">
        <v>268</v>
      </c>
      <c r="B22" s="173">
        <v>625</v>
      </c>
      <c r="C22" s="173">
        <v>310</v>
      </c>
      <c r="D22" s="173"/>
      <c r="E22" s="173">
        <v>905</v>
      </c>
      <c r="F22" s="173"/>
      <c r="G22" s="173">
        <v>971</v>
      </c>
      <c r="H22" s="173">
        <v>492</v>
      </c>
      <c r="I22" s="173">
        <v>488</v>
      </c>
      <c r="J22" s="173">
        <v>477</v>
      </c>
      <c r="K22" s="173">
        <v>465</v>
      </c>
      <c r="L22" s="183" t="s">
        <v>152</v>
      </c>
      <c r="M22" s="183"/>
      <c r="N22" s="467">
        <v>485</v>
      </c>
    </row>
    <row r="23" spans="1:14" ht="12.75" customHeight="1" x14ac:dyDescent="0.2">
      <c r="A23" s="464" t="s">
        <v>269</v>
      </c>
      <c r="B23" s="173">
        <v>625</v>
      </c>
      <c r="C23" s="173">
        <v>320</v>
      </c>
      <c r="D23" s="173"/>
      <c r="E23" s="173">
        <v>905</v>
      </c>
      <c r="F23" s="173"/>
      <c r="G23" s="173">
        <v>856</v>
      </c>
      <c r="H23" s="173">
        <v>491</v>
      </c>
      <c r="I23" s="173">
        <v>488</v>
      </c>
      <c r="J23" s="173">
        <v>476</v>
      </c>
      <c r="K23" s="173">
        <v>474</v>
      </c>
      <c r="L23" s="183" t="s">
        <v>152</v>
      </c>
      <c r="M23" s="183"/>
      <c r="N23" s="467">
        <v>467</v>
      </c>
    </row>
    <row r="24" spans="1:14" ht="12.75" customHeight="1" x14ac:dyDescent="0.2">
      <c r="A24" s="464" t="s">
        <v>270</v>
      </c>
      <c r="B24" s="173">
        <v>625</v>
      </c>
      <c r="C24" s="173">
        <v>320</v>
      </c>
      <c r="D24" s="173"/>
      <c r="E24" s="173">
        <v>846</v>
      </c>
      <c r="F24" s="173"/>
      <c r="G24" s="173">
        <v>804</v>
      </c>
      <c r="H24" s="173">
        <v>461</v>
      </c>
      <c r="I24" s="173">
        <v>457</v>
      </c>
      <c r="J24" s="173">
        <v>446</v>
      </c>
      <c r="K24" s="173">
        <v>445</v>
      </c>
      <c r="L24" s="183" t="s">
        <v>152</v>
      </c>
      <c r="M24" s="183"/>
      <c r="N24" s="467">
        <v>480</v>
      </c>
    </row>
    <row r="25" spans="1:14" ht="12.75" customHeight="1" x14ac:dyDescent="0.2">
      <c r="A25" s="464" t="s">
        <v>277</v>
      </c>
      <c r="B25" s="173">
        <v>625</v>
      </c>
      <c r="C25" s="173">
        <v>320</v>
      </c>
      <c r="D25" s="173"/>
      <c r="E25" s="173">
        <v>835</v>
      </c>
      <c r="F25" s="173"/>
      <c r="G25" s="173">
        <v>792</v>
      </c>
      <c r="H25" s="173">
        <v>479</v>
      </c>
      <c r="I25" s="173">
        <v>471</v>
      </c>
      <c r="J25" s="173">
        <v>462</v>
      </c>
      <c r="K25" s="173">
        <v>460</v>
      </c>
      <c r="L25" s="183" t="s">
        <v>152</v>
      </c>
      <c r="M25" s="183"/>
      <c r="N25" s="467">
        <v>502</v>
      </c>
    </row>
    <row r="26" spans="1:14" ht="12.75" customHeight="1" x14ac:dyDescent="0.2">
      <c r="A26" s="464" t="s">
        <v>279</v>
      </c>
      <c r="B26" s="173">
        <v>625</v>
      </c>
      <c r="C26" s="173">
        <v>320</v>
      </c>
      <c r="D26" s="173"/>
      <c r="E26" s="173">
        <v>835</v>
      </c>
      <c r="F26" s="173"/>
      <c r="G26" s="173">
        <v>818</v>
      </c>
      <c r="H26" s="173">
        <v>512</v>
      </c>
      <c r="I26" s="173">
        <v>503</v>
      </c>
      <c r="J26" s="173">
        <v>494</v>
      </c>
      <c r="K26" s="173">
        <v>493</v>
      </c>
      <c r="L26" s="183" t="s">
        <v>152</v>
      </c>
      <c r="M26" s="183"/>
      <c r="N26" s="467">
        <v>502</v>
      </c>
    </row>
    <row r="27" spans="1:14" ht="12.75" customHeight="1" x14ac:dyDescent="0.2">
      <c r="A27" s="464" t="s">
        <v>283</v>
      </c>
      <c r="B27" s="173">
        <v>625</v>
      </c>
      <c r="C27" s="173">
        <v>326</v>
      </c>
      <c r="D27" s="173"/>
      <c r="E27" s="173">
        <v>835</v>
      </c>
      <c r="F27" s="173"/>
      <c r="G27" s="173">
        <v>826</v>
      </c>
      <c r="H27" s="173">
        <v>530</v>
      </c>
      <c r="I27" s="173">
        <v>519</v>
      </c>
      <c r="J27" s="173">
        <v>512</v>
      </c>
      <c r="K27" s="173">
        <v>511</v>
      </c>
      <c r="L27" s="183" t="s">
        <v>152</v>
      </c>
      <c r="M27" s="183"/>
      <c r="N27" s="467">
        <v>520</v>
      </c>
    </row>
    <row r="28" spans="1:14" ht="13.5" customHeight="1" x14ac:dyDescent="0.2">
      <c r="A28" s="464" t="s">
        <v>289</v>
      </c>
      <c r="B28" s="173">
        <v>625</v>
      </c>
      <c r="C28" s="173">
        <v>328</v>
      </c>
      <c r="D28" s="173"/>
      <c r="E28" s="173">
        <v>848</v>
      </c>
      <c r="F28" s="173"/>
      <c r="G28" s="173">
        <v>823</v>
      </c>
      <c r="H28" s="173">
        <v>552</v>
      </c>
      <c r="I28" s="173">
        <v>536</v>
      </c>
      <c r="J28" s="173">
        <v>534</v>
      </c>
      <c r="K28" s="173">
        <v>533</v>
      </c>
      <c r="L28" s="183" t="s">
        <v>152</v>
      </c>
      <c r="M28" s="183"/>
      <c r="N28" s="467">
        <v>520</v>
      </c>
    </row>
    <row r="29" spans="1:14" ht="13.5" customHeight="1" x14ac:dyDescent="0.2">
      <c r="A29" s="464" t="s">
        <v>288</v>
      </c>
      <c r="B29" s="173">
        <v>625</v>
      </c>
      <c r="C29" s="173">
        <v>321</v>
      </c>
      <c r="D29" s="173"/>
      <c r="E29" s="173">
        <v>912</v>
      </c>
      <c r="F29" s="173"/>
      <c r="G29" s="173">
        <v>810</v>
      </c>
      <c r="H29" s="173">
        <v>516</v>
      </c>
      <c r="I29" s="173">
        <v>501</v>
      </c>
      <c r="J29" s="173">
        <v>500</v>
      </c>
      <c r="K29" s="173">
        <v>499</v>
      </c>
      <c r="L29" s="183" t="s">
        <v>152</v>
      </c>
      <c r="M29" s="183"/>
      <c r="N29" s="467">
        <v>511</v>
      </c>
    </row>
    <row r="30" spans="1:14" ht="13.5" customHeight="1" x14ac:dyDescent="0.2">
      <c r="A30" s="464" t="s">
        <v>287</v>
      </c>
      <c r="B30" s="173">
        <v>628</v>
      </c>
      <c r="C30" s="173">
        <v>321</v>
      </c>
      <c r="D30" s="173"/>
      <c r="E30" s="173">
        <v>945</v>
      </c>
      <c r="F30" s="173"/>
      <c r="G30" s="173">
        <v>771</v>
      </c>
      <c r="H30" s="173">
        <v>486</v>
      </c>
      <c r="I30" s="173">
        <v>469</v>
      </c>
      <c r="J30" s="173">
        <v>471</v>
      </c>
      <c r="K30" s="173">
        <v>470</v>
      </c>
      <c r="L30" s="183" t="s">
        <v>152</v>
      </c>
      <c r="M30" s="183"/>
      <c r="N30" s="467">
        <v>489</v>
      </c>
    </row>
    <row r="31" spans="1:14" ht="13.5" customHeight="1" x14ac:dyDescent="0.2">
      <c r="A31" s="469" t="s">
        <v>296</v>
      </c>
      <c r="B31" s="173">
        <v>630</v>
      </c>
      <c r="C31" s="173">
        <v>325</v>
      </c>
      <c r="D31" s="173"/>
      <c r="E31" s="173">
        <v>983</v>
      </c>
      <c r="F31" s="173"/>
      <c r="G31" s="173">
        <v>718</v>
      </c>
      <c r="H31" s="173">
        <v>486</v>
      </c>
      <c r="I31" s="173">
        <v>475</v>
      </c>
      <c r="J31" s="173">
        <v>470</v>
      </c>
      <c r="K31" s="173">
        <v>468</v>
      </c>
      <c r="L31" s="183" t="s">
        <v>152</v>
      </c>
      <c r="M31" s="183"/>
      <c r="N31" s="467">
        <v>493</v>
      </c>
    </row>
    <row r="32" spans="1:14" ht="13.5" customHeight="1" x14ac:dyDescent="0.2">
      <c r="A32" s="469" t="s">
        <v>306</v>
      </c>
      <c r="B32" s="173">
        <v>630</v>
      </c>
      <c r="C32" s="173">
        <v>320</v>
      </c>
      <c r="D32" s="173"/>
      <c r="E32" s="173">
        <v>1052</v>
      </c>
      <c r="F32" s="173"/>
      <c r="G32" s="173">
        <v>660</v>
      </c>
      <c r="H32" s="173">
        <v>460</v>
      </c>
      <c r="I32" s="173">
        <v>451</v>
      </c>
      <c r="J32" s="173">
        <v>443</v>
      </c>
      <c r="K32" s="173">
        <v>442</v>
      </c>
      <c r="L32" s="183" t="s">
        <v>152</v>
      </c>
      <c r="M32" s="183"/>
      <c r="N32" s="467">
        <v>449</v>
      </c>
    </row>
    <row r="33" spans="1:14" ht="13.5" customHeight="1" x14ac:dyDescent="0.2">
      <c r="A33" s="469" t="s">
        <v>310</v>
      </c>
      <c r="B33" s="178">
        <v>610</v>
      </c>
      <c r="C33" s="178">
        <v>327</v>
      </c>
      <c r="D33" s="178"/>
      <c r="E33" s="178">
        <v>1100</v>
      </c>
      <c r="F33" s="173"/>
      <c r="G33" s="173">
        <v>619</v>
      </c>
      <c r="H33" s="173">
        <v>421</v>
      </c>
      <c r="I33" s="173">
        <v>412</v>
      </c>
      <c r="J33" s="173">
        <v>402</v>
      </c>
      <c r="K33" s="173">
        <v>401</v>
      </c>
      <c r="L33" s="183" t="s">
        <v>152</v>
      </c>
      <c r="M33" s="183"/>
      <c r="N33" s="468">
        <v>397</v>
      </c>
    </row>
    <row r="34" spans="1:14" ht="4.5" customHeight="1" x14ac:dyDescent="0.2">
      <c r="A34" s="464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3"/>
      <c r="M34" s="183"/>
      <c r="N34" s="467"/>
    </row>
    <row r="35" spans="1:14" ht="12" customHeight="1" x14ac:dyDescent="0.2">
      <c r="A35" s="469" t="s">
        <v>326</v>
      </c>
      <c r="B35" s="173">
        <f>AVERAGE(B22:B34)</f>
        <v>624.83333333333337</v>
      </c>
      <c r="C35" s="173">
        <f>AVERAGE(C22:C34)</f>
        <v>321.5</v>
      </c>
      <c r="D35" s="173"/>
      <c r="E35" s="173">
        <f>AVERAGE(E22:E34)</f>
        <v>916.75</v>
      </c>
      <c r="F35" s="173"/>
      <c r="G35" s="173">
        <f>AVERAGE(G22:G34)</f>
        <v>789</v>
      </c>
      <c r="H35" s="173">
        <f>AVERAGE(H22:H34)</f>
        <v>490.5</v>
      </c>
      <c r="I35" s="173">
        <f>AVERAGE(I22:I34)</f>
        <v>480.83333333333331</v>
      </c>
      <c r="J35" s="173">
        <f>AVERAGE(J22:J34)</f>
        <v>473.91666666666669</v>
      </c>
      <c r="K35" s="173">
        <f>AVERAGE(K22:K34)</f>
        <v>471.75</v>
      </c>
      <c r="L35" s="183" t="s">
        <v>152</v>
      </c>
      <c r="M35" s="183"/>
      <c r="N35" s="467">
        <f>AVERAGE(N22:N34)</f>
        <v>484.58333333333331</v>
      </c>
    </row>
    <row r="36" spans="1:14" ht="5.0999999999999996" customHeight="1" x14ac:dyDescent="0.2">
      <c r="A36" s="464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3"/>
      <c r="M36" s="183"/>
      <c r="N36" s="467"/>
    </row>
    <row r="37" spans="1:14" ht="12.75" customHeight="1" x14ac:dyDescent="0.2">
      <c r="A37" s="469" t="s">
        <v>312</v>
      </c>
      <c r="B37" s="173">
        <v>600</v>
      </c>
      <c r="C37" s="173">
        <v>340</v>
      </c>
      <c r="D37" s="173"/>
      <c r="E37" s="173">
        <v>1100</v>
      </c>
      <c r="F37" s="173"/>
      <c r="G37" s="173">
        <v>619</v>
      </c>
      <c r="H37" s="173">
        <v>397</v>
      </c>
      <c r="I37" s="173">
        <v>387</v>
      </c>
      <c r="J37" s="173">
        <v>377</v>
      </c>
      <c r="K37" s="173">
        <v>372</v>
      </c>
      <c r="L37" s="183" t="s">
        <v>152</v>
      </c>
      <c r="M37" s="183"/>
      <c r="N37" s="467">
        <v>392</v>
      </c>
    </row>
    <row r="38" spans="1:14" ht="12.75" customHeight="1" x14ac:dyDescent="0.2">
      <c r="A38" s="469" t="s">
        <v>317</v>
      </c>
      <c r="B38" s="173">
        <v>600</v>
      </c>
      <c r="C38" s="173">
        <v>345</v>
      </c>
      <c r="D38" s="173"/>
      <c r="E38" s="173">
        <v>1125</v>
      </c>
      <c r="F38" s="173"/>
      <c r="G38" s="173">
        <v>657</v>
      </c>
      <c r="H38" s="173">
        <v>396</v>
      </c>
      <c r="I38" s="173">
        <v>386</v>
      </c>
      <c r="J38" s="173">
        <v>375</v>
      </c>
      <c r="K38" s="173">
        <v>372</v>
      </c>
      <c r="L38" s="183" t="s">
        <v>152</v>
      </c>
      <c r="M38" s="183"/>
      <c r="N38" s="467">
        <v>416</v>
      </c>
    </row>
    <row r="39" spans="1:14" ht="12.75" customHeight="1" x14ac:dyDescent="0.2">
      <c r="A39" s="469" t="s">
        <v>320</v>
      </c>
      <c r="B39" s="173">
        <v>600</v>
      </c>
      <c r="C39" s="173">
        <v>350</v>
      </c>
      <c r="D39" s="173"/>
      <c r="E39" s="173">
        <v>1125</v>
      </c>
      <c r="F39" s="173"/>
      <c r="G39" s="173">
        <v>654</v>
      </c>
      <c r="H39" s="173">
        <v>398</v>
      </c>
      <c r="I39" s="173">
        <v>389</v>
      </c>
      <c r="J39" s="173">
        <v>377</v>
      </c>
      <c r="K39" s="173">
        <v>376</v>
      </c>
      <c r="L39" s="183" t="s">
        <v>152</v>
      </c>
      <c r="M39" s="183"/>
      <c r="N39" s="467">
        <v>436</v>
      </c>
    </row>
    <row r="40" spans="1:14" ht="12.75" customHeight="1" x14ac:dyDescent="0.2">
      <c r="A40" s="469" t="s">
        <v>322</v>
      </c>
      <c r="B40" s="173">
        <v>600</v>
      </c>
      <c r="C40" s="173">
        <v>349</v>
      </c>
      <c r="D40" s="173"/>
      <c r="E40" s="173">
        <v>1125</v>
      </c>
      <c r="F40" s="173"/>
      <c r="G40" s="173">
        <v>632</v>
      </c>
      <c r="H40" s="173">
        <v>394</v>
      </c>
      <c r="I40" s="173">
        <v>384</v>
      </c>
      <c r="J40" s="173">
        <v>374</v>
      </c>
      <c r="K40" s="173">
        <v>375</v>
      </c>
      <c r="L40" s="183" t="s">
        <v>152</v>
      </c>
      <c r="M40" s="183"/>
      <c r="N40" s="467">
        <v>430</v>
      </c>
    </row>
    <row r="41" spans="1:14" ht="12.75" customHeight="1" x14ac:dyDescent="0.2">
      <c r="A41" s="469" t="s">
        <v>323</v>
      </c>
      <c r="B41" s="173">
        <v>600</v>
      </c>
      <c r="C41" s="173">
        <v>345</v>
      </c>
      <c r="D41" s="173"/>
      <c r="E41" s="173">
        <v>1125</v>
      </c>
      <c r="F41" s="173"/>
      <c r="G41" s="173">
        <v>648</v>
      </c>
      <c r="H41" s="173">
        <v>396</v>
      </c>
      <c r="I41" s="173">
        <v>383</v>
      </c>
      <c r="J41" s="173">
        <v>375</v>
      </c>
      <c r="K41" s="173">
        <v>375</v>
      </c>
      <c r="L41" s="183" t="s">
        <v>152</v>
      </c>
      <c r="M41" s="183"/>
      <c r="N41" s="467">
        <v>408</v>
      </c>
    </row>
    <row r="42" spans="1:14" ht="12.75" customHeight="1" x14ac:dyDescent="0.2">
      <c r="A42" s="469" t="s">
        <v>354</v>
      </c>
      <c r="B42" s="173">
        <v>607</v>
      </c>
      <c r="C42" s="173">
        <v>357</v>
      </c>
      <c r="D42" s="173"/>
      <c r="E42" s="173">
        <v>1201</v>
      </c>
      <c r="F42" s="173"/>
      <c r="G42" s="173">
        <v>688</v>
      </c>
      <c r="H42" s="173">
        <v>415</v>
      </c>
      <c r="I42" s="173">
        <v>399</v>
      </c>
      <c r="J42" s="173">
        <v>393</v>
      </c>
      <c r="K42" s="173">
        <v>390</v>
      </c>
      <c r="L42" s="183" t="s">
        <v>152</v>
      </c>
      <c r="M42" s="183"/>
      <c r="N42" s="467">
        <v>398</v>
      </c>
    </row>
    <row r="43" spans="1:14" ht="12.75" customHeight="1" x14ac:dyDescent="0.2">
      <c r="A43" s="469" t="s">
        <v>332</v>
      </c>
      <c r="B43" s="173">
        <v>641</v>
      </c>
      <c r="C43" s="173">
        <v>373</v>
      </c>
      <c r="D43" s="173"/>
      <c r="E43" s="173">
        <v>1211</v>
      </c>
      <c r="F43" s="173"/>
      <c r="G43" s="173">
        <v>751</v>
      </c>
      <c r="H43" s="173">
        <v>421</v>
      </c>
      <c r="I43" s="173">
        <v>407</v>
      </c>
      <c r="J43" s="173">
        <v>397</v>
      </c>
      <c r="K43" s="173">
        <v>394</v>
      </c>
      <c r="L43" s="183" t="s">
        <v>152</v>
      </c>
      <c r="M43" s="183"/>
      <c r="N43" s="467">
        <v>400</v>
      </c>
    </row>
    <row r="44" spans="1:14" ht="12.75" customHeight="1" x14ac:dyDescent="0.2">
      <c r="A44" s="469" t="s">
        <v>336</v>
      </c>
      <c r="B44" s="173">
        <v>658</v>
      </c>
      <c r="C44" s="173">
        <v>403</v>
      </c>
      <c r="D44" s="173"/>
      <c r="E44" s="173">
        <v>1220</v>
      </c>
      <c r="F44" s="173"/>
      <c r="G44" s="173">
        <v>746</v>
      </c>
      <c r="H44" s="173">
        <v>432</v>
      </c>
      <c r="I44" s="173">
        <v>425</v>
      </c>
      <c r="J44" s="173">
        <v>411</v>
      </c>
      <c r="K44" s="173">
        <v>408</v>
      </c>
      <c r="L44" s="183" t="s">
        <v>152</v>
      </c>
      <c r="M44" s="183"/>
      <c r="N44" s="467">
        <v>415</v>
      </c>
    </row>
    <row r="45" spans="1:14" ht="12.75" customHeight="1" x14ac:dyDescent="0.2">
      <c r="A45" s="469" t="s">
        <v>353</v>
      </c>
      <c r="B45" s="173">
        <v>668</v>
      </c>
      <c r="C45" s="173">
        <v>403</v>
      </c>
      <c r="D45" s="173"/>
      <c r="E45" s="173">
        <v>1293</v>
      </c>
      <c r="F45" s="173"/>
      <c r="G45" s="173">
        <v>785</v>
      </c>
      <c r="H45" s="173">
        <v>424</v>
      </c>
      <c r="I45" s="173">
        <v>417</v>
      </c>
      <c r="J45" s="173">
        <v>403</v>
      </c>
      <c r="K45" s="173">
        <v>400</v>
      </c>
      <c r="L45" s="183" t="s">
        <v>152</v>
      </c>
      <c r="M45" s="183"/>
      <c r="N45" s="467">
        <v>416</v>
      </c>
    </row>
    <row r="46" spans="1:14" ht="12.75" customHeight="1" x14ac:dyDescent="0.2">
      <c r="A46" s="469" t="s">
        <v>355</v>
      </c>
      <c r="B46" s="173">
        <v>687</v>
      </c>
      <c r="C46" s="173">
        <v>414</v>
      </c>
      <c r="D46" s="173"/>
      <c r="E46" s="173">
        <v>1383</v>
      </c>
      <c r="F46" s="173"/>
      <c r="G46" s="173">
        <v>919</v>
      </c>
      <c r="H46" s="173">
        <v>457</v>
      </c>
      <c r="I46" s="173">
        <v>433</v>
      </c>
      <c r="J46" s="173">
        <v>436</v>
      </c>
      <c r="K46" s="173">
        <v>432</v>
      </c>
      <c r="L46" s="183" t="s">
        <v>152</v>
      </c>
      <c r="M46" s="183"/>
      <c r="N46" s="467">
        <v>419</v>
      </c>
    </row>
    <row r="47" spans="1:14" ht="12.75" customHeight="1" x14ac:dyDescent="0.2">
      <c r="A47" s="469" t="s">
        <v>359</v>
      </c>
      <c r="B47" s="173">
        <v>703</v>
      </c>
      <c r="C47" s="173">
        <v>413</v>
      </c>
      <c r="D47" s="173"/>
      <c r="E47" s="173">
        <v>1410</v>
      </c>
      <c r="F47" s="173"/>
      <c r="G47" s="173">
        <v>876</v>
      </c>
      <c r="H47" s="173">
        <v>441</v>
      </c>
      <c r="I47" s="173">
        <v>431</v>
      </c>
      <c r="J47" s="173">
        <v>420</v>
      </c>
      <c r="K47" s="173">
        <v>416</v>
      </c>
      <c r="L47" s="183" t="s">
        <v>152</v>
      </c>
      <c r="M47" s="183"/>
      <c r="N47" s="467">
        <v>423</v>
      </c>
    </row>
    <row r="48" spans="1:14" ht="12.75" customHeight="1" x14ac:dyDescent="0.2">
      <c r="A48" s="469" t="s">
        <v>360</v>
      </c>
      <c r="B48" s="183">
        <v>706</v>
      </c>
      <c r="C48" s="183">
        <v>420</v>
      </c>
      <c r="D48" s="183"/>
      <c r="E48" s="183">
        <v>1445</v>
      </c>
      <c r="F48" s="173"/>
      <c r="G48" s="173">
        <v>835</v>
      </c>
      <c r="H48" s="173">
        <v>421</v>
      </c>
      <c r="I48" s="173">
        <v>413</v>
      </c>
      <c r="J48" s="173">
        <v>400</v>
      </c>
      <c r="K48" s="173">
        <v>396</v>
      </c>
      <c r="L48" s="183" t="s">
        <v>152</v>
      </c>
      <c r="M48" s="183"/>
      <c r="N48" s="470">
        <v>407</v>
      </c>
    </row>
    <row r="49" spans="1:14" ht="3.9" customHeight="1" x14ac:dyDescent="0.2">
      <c r="A49" s="469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83"/>
      <c r="M49" s="183"/>
      <c r="N49" s="467"/>
    </row>
    <row r="50" spans="1:14" ht="12.75" customHeight="1" x14ac:dyDescent="0.2">
      <c r="A50" s="469" t="s">
        <v>352</v>
      </c>
      <c r="B50" s="173">
        <f>AVERAGE(B37:B49)</f>
        <v>639.16666666666663</v>
      </c>
      <c r="C50" s="173">
        <f>AVERAGE(C37:C49)</f>
        <v>376</v>
      </c>
      <c r="D50" s="173"/>
      <c r="E50" s="173">
        <f>AVERAGE(E37:E49)</f>
        <v>1230.25</v>
      </c>
      <c r="F50" s="173"/>
      <c r="G50" s="173">
        <f>AVERAGE(G37:G49)</f>
        <v>734.16666666666663</v>
      </c>
      <c r="H50" s="173">
        <f>AVERAGE(H37:H49)</f>
        <v>416</v>
      </c>
      <c r="I50" s="173">
        <f>AVERAGE(I37:I49)</f>
        <v>404.5</v>
      </c>
      <c r="J50" s="173">
        <f>AVERAGE(J37:J49)</f>
        <v>394.83333333333331</v>
      </c>
      <c r="K50" s="173">
        <f>AVERAGE(K37:K49)</f>
        <v>392.16666666666669</v>
      </c>
      <c r="L50" s="183" t="s">
        <v>152</v>
      </c>
      <c r="M50" s="183"/>
      <c r="N50" s="467">
        <f>AVERAGE(N37:N49)</f>
        <v>413.33333333333331</v>
      </c>
    </row>
    <row r="51" spans="1:14" ht="6" customHeight="1" x14ac:dyDescent="0.2">
      <c r="A51" s="464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83"/>
      <c r="M51" s="183"/>
      <c r="N51" s="467"/>
    </row>
    <row r="52" spans="1:14" ht="12.75" customHeight="1" x14ac:dyDescent="0.2">
      <c r="A52" s="469" t="s">
        <v>361</v>
      </c>
      <c r="B52" s="173">
        <v>712</v>
      </c>
      <c r="C52" s="173">
        <v>421</v>
      </c>
      <c r="D52" s="173"/>
      <c r="E52" s="173">
        <v>1550</v>
      </c>
      <c r="F52" s="173"/>
      <c r="G52" s="173">
        <v>834</v>
      </c>
      <c r="H52" s="173">
        <v>422</v>
      </c>
      <c r="I52" s="173">
        <v>411</v>
      </c>
      <c r="J52" s="173">
        <v>399</v>
      </c>
      <c r="K52" s="173">
        <v>396</v>
      </c>
      <c r="L52" s="183" t="s">
        <v>152</v>
      </c>
      <c r="M52" s="183"/>
      <c r="N52" s="467">
        <v>396</v>
      </c>
    </row>
    <row r="53" spans="1:14" ht="12.75" customHeight="1" x14ac:dyDescent="0.2">
      <c r="A53" s="469" t="s">
        <v>363</v>
      </c>
      <c r="B53" s="173">
        <v>720</v>
      </c>
      <c r="C53" s="173">
        <v>430</v>
      </c>
      <c r="D53" s="173"/>
      <c r="E53" s="173">
        <v>1606</v>
      </c>
      <c r="F53" s="173"/>
      <c r="G53" s="173">
        <v>864</v>
      </c>
      <c r="H53" s="173">
        <v>437</v>
      </c>
      <c r="I53" s="173">
        <v>428</v>
      </c>
      <c r="J53" s="173">
        <v>414</v>
      </c>
      <c r="K53" s="173">
        <v>411</v>
      </c>
      <c r="L53" s="183" t="s">
        <v>152</v>
      </c>
      <c r="M53" s="183"/>
      <c r="N53" s="467">
        <v>410</v>
      </c>
    </row>
    <row r="54" spans="1:14" ht="12.75" customHeight="1" x14ac:dyDescent="0.2">
      <c r="A54" s="469" t="s">
        <v>365</v>
      </c>
      <c r="B54" s="173">
        <v>725</v>
      </c>
      <c r="C54" s="173">
        <v>430</v>
      </c>
      <c r="D54" s="173"/>
      <c r="E54" s="173">
        <v>1625</v>
      </c>
      <c r="F54" s="173"/>
      <c r="G54" s="173">
        <v>839</v>
      </c>
      <c r="H54" s="173">
        <v>427</v>
      </c>
      <c r="I54" s="173">
        <v>417</v>
      </c>
      <c r="J54" s="173">
        <v>404</v>
      </c>
      <c r="K54" s="173">
        <v>401</v>
      </c>
      <c r="L54" s="183" t="s">
        <v>152</v>
      </c>
      <c r="M54" s="183"/>
      <c r="N54" s="467">
        <v>429</v>
      </c>
    </row>
    <row r="55" spans="1:14" ht="12.75" customHeight="1" x14ac:dyDescent="0.2">
      <c r="A55" s="469" t="s">
        <v>370</v>
      </c>
      <c r="B55" s="173">
        <v>730</v>
      </c>
      <c r="C55" s="173">
        <v>443</v>
      </c>
      <c r="D55" s="173"/>
      <c r="E55" s="173">
        <v>1625</v>
      </c>
      <c r="F55" s="173"/>
      <c r="G55" s="173">
        <v>773</v>
      </c>
      <c r="H55" s="173">
        <v>428</v>
      </c>
      <c r="I55" s="173">
        <v>417</v>
      </c>
      <c r="J55" s="173">
        <v>405</v>
      </c>
      <c r="K55" s="173">
        <v>402</v>
      </c>
      <c r="L55" s="183" t="s">
        <v>152</v>
      </c>
      <c r="M55" s="183"/>
      <c r="N55" s="467">
        <v>438</v>
      </c>
    </row>
    <row r="56" spans="1:14" ht="12.75" customHeight="1" x14ac:dyDescent="0.2">
      <c r="A56" s="469" t="s">
        <v>371</v>
      </c>
      <c r="B56" s="173">
        <v>734</v>
      </c>
      <c r="C56" s="173">
        <v>446</v>
      </c>
      <c r="D56" s="173"/>
      <c r="E56" s="173">
        <v>1638</v>
      </c>
      <c r="F56" s="173"/>
      <c r="G56" s="173">
        <v>768</v>
      </c>
      <c r="H56" s="173">
        <v>461</v>
      </c>
      <c r="I56" s="173">
        <v>446</v>
      </c>
      <c r="J56" s="173">
        <v>436</v>
      </c>
      <c r="K56" s="173">
        <v>431</v>
      </c>
      <c r="L56" s="183" t="s">
        <v>152</v>
      </c>
      <c r="M56" s="183"/>
      <c r="N56" s="467">
        <v>456</v>
      </c>
    </row>
    <row r="57" spans="1:14" ht="12.75" customHeight="1" x14ac:dyDescent="0.2">
      <c r="A57" s="469" t="s">
        <v>372</v>
      </c>
      <c r="B57" s="173">
        <v>740</v>
      </c>
      <c r="C57" s="173">
        <v>450</v>
      </c>
      <c r="D57" s="173"/>
      <c r="E57" s="173">
        <v>1650</v>
      </c>
      <c r="F57" s="173"/>
      <c r="G57" s="173">
        <v>851</v>
      </c>
      <c r="H57" s="173">
        <v>504</v>
      </c>
      <c r="I57" s="173">
        <v>488</v>
      </c>
      <c r="J57" s="173">
        <v>477</v>
      </c>
      <c r="K57" s="173">
        <v>468</v>
      </c>
      <c r="L57" s="183">
        <v>472</v>
      </c>
      <c r="M57" s="183"/>
      <c r="N57" s="467">
        <v>460</v>
      </c>
    </row>
    <row r="58" spans="1:14" ht="12.75" customHeight="1" x14ac:dyDescent="0.2">
      <c r="A58" s="469" t="s">
        <v>373</v>
      </c>
      <c r="B58" s="173">
        <v>760</v>
      </c>
      <c r="C58" s="173">
        <v>441</v>
      </c>
      <c r="D58" s="173"/>
      <c r="E58" s="173">
        <v>1650</v>
      </c>
      <c r="F58" s="173"/>
      <c r="G58" s="173">
        <v>819</v>
      </c>
      <c r="H58" s="173">
        <v>485</v>
      </c>
      <c r="I58" s="173">
        <v>468</v>
      </c>
      <c r="J58" s="173">
        <v>457</v>
      </c>
      <c r="K58" s="173">
        <v>453</v>
      </c>
      <c r="L58" s="183">
        <v>448</v>
      </c>
      <c r="M58" s="183"/>
      <c r="N58" s="467">
        <v>460</v>
      </c>
    </row>
    <row r="59" spans="1:14" ht="12.75" customHeight="1" x14ac:dyDescent="0.2">
      <c r="A59" s="469" t="s">
        <v>377</v>
      </c>
      <c r="B59" s="173">
        <v>760</v>
      </c>
      <c r="C59" s="173">
        <v>436</v>
      </c>
      <c r="D59" s="173"/>
      <c r="E59" s="173">
        <v>1650</v>
      </c>
      <c r="F59" s="173"/>
      <c r="G59" s="173">
        <v>800</v>
      </c>
      <c r="H59" s="173">
        <v>482</v>
      </c>
      <c r="I59" s="173">
        <v>460</v>
      </c>
      <c r="J59" s="173">
        <v>452</v>
      </c>
      <c r="K59" s="173">
        <v>443</v>
      </c>
      <c r="L59" s="183">
        <v>427</v>
      </c>
      <c r="M59" s="183"/>
      <c r="N59" s="467">
        <v>456</v>
      </c>
    </row>
    <row r="60" spans="1:14" ht="12.75" customHeight="1" x14ac:dyDescent="0.2">
      <c r="A60" s="469" t="s">
        <v>378</v>
      </c>
      <c r="B60" s="173">
        <v>760</v>
      </c>
      <c r="C60" s="173">
        <v>430</v>
      </c>
      <c r="D60" s="173"/>
      <c r="E60" s="173">
        <v>1650</v>
      </c>
      <c r="F60" s="173"/>
      <c r="G60" s="173">
        <v>798</v>
      </c>
      <c r="H60" s="173">
        <v>503</v>
      </c>
      <c r="I60" s="173">
        <v>482</v>
      </c>
      <c r="J60" s="173">
        <v>472</v>
      </c>
      <c r="K60" s="173">
        <v>456</v>
      </c>
      <c r="L60" s="183">
        <v>428</v>
      </c>
      <c r="M60" s="183"/>
      <c r="N60" s="467">
        <v>481</v>
      </c>
    </row>
    <row r="61" spans="1:14" ht="12.75" customHeight="1" x14ac:dyDescent="0.2">
      <c r="A61" s="469" t="s">
        <v>380</v>
      </c>
      <c r="B61" s="173">
        <v>760</v>
      </c>
      <c r="C61" s="173">
        <v>445</v>
      </c>
      <c r="D61" s="173"/>
      <c r="E61" s="173">
        <v>1650</v>
      </c>
      <c r="F61" s="173"/>
      <c r="G61" s="173">
        <v>815</v>
      </c>
      <c r="H61" s="173">
        <v>516</v>
      </c>
      <c r="I61" s="173">
        <v>495</v>
      </c>
      <c r="J61" s="173">
        <v>484</v>
      </c>
      <c r="K61" s="173">
        <v>465</v>
      </c>
      <c r="L61" s="183">
        <v>431</v>
      </c>
      <c r="M61" s="183"/>
      <c r="N61" s="467">
        <v>493</v>
      </c>
    </row>
    <row r="62" spans="1:14" ht="12.75" customHeight="1" x14ac:dyDescent="0.2">
      <c r="A62" s="469" t="s">
        <v>381</v>
      </c>
      <c r="B62" s="173">
        <v>760</v>
      </c>
      <c r="C62" s="173">
        <v>454</v>
      </c>
      <c r="D62" s="173"/>
      <c r="E62" s="173">
        <v>1650</v>
      </c>
      <c r="F62" s="173"/>
      <c r="G62" s="173">
        <v>824</v>
      </c>
      <c r="H62" s="173">
        <v>521</v>
      </c>
      <c r="I62" s="173">
        <v>492</v>
      </c>
      <c r="J62" s="173">
        <v>488</v>
      </c>
      <c r="K62" s="173">
        <v>469</v>
      </c>
      <c r="L62" s="183">
        <v>433</v>
      </c>
      <c r="M62" s="183"/>
      <c r="N62" s="467">
        <v>504</v>
      </c>
    </row>
    <row r="63" spans="1:14" ht="12.75" customHeight="1" x14ac:dyDescent="0.2">
      <c r="A63" s="469" t="s">
        <v>382</v>
      </c>
      <c r="B63" s="173">
        <v>760</v>
      </c>
      <c r="C63" s="173">
        <v>420</v>
      </c>
      <c r="D63" s="173"/>
      <c r="E63" s="173">
        <v>1650</v>
      </c>
      <c r="F63" s="173"/>
      <c r="G63" s="173">
        <v>854</v>
      </c>
      <c r="H63" s="173">
        <v>571</v>
      </c>
      <c r="I63" s="173">
        <v>543</v>
      </c>
      <c r="J63" s="173">
        <v>534</v>
      </c>
      <c r="K63" s="173">
        <v>506</v>
      </c>
      <c r="L63" s="183">
        <v>446</v>
      </c>
      <c r="M63" s="183"/>
      <c r="N63" s="467">
        <v>541</v>
      </c>
    </row>
    <row r="64" spans="1:14" ht="5.25" customHeight="1" x14ac:dyDescent="0.2">
      <c r="A64" s="469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83"/>
      <c r="M64" s="183"/>
      <c r="N64" s="467"/>
    </row>
    <row r="65" spans="1:14" ht="12.75" customHeight="1" x14ac:dyDescent="0.2">
      <c r="A65" s="469" t="s">
        <v>383</v>
      </c>
      <c r="B65" s="173">
        <f>AVERAGE(B52:B64)</f>
        <v>743.41666666666663</v>
      </c>
      <c r="C65" s="173">
        <f>AVERAGE(C52:C64)</f>
        <v>437.16666666666669</v>
      </c>
      <c r="D65" s="173"/>
      <c r="E65" s="173">
        <f>AVERAGE(E52:E64)</f>
        <v>1632.8333333333333</v>
      </c>
      <c r="F65" s="173"/>
      <c r="G65" s="173">
        <f t="shared" ref="G65:N65" si="0">AVERAGE(G52:G64)</f>
        <v>819.91666666666663</v>
      </c>
      <c r="H65" s="173">
        <f>AVERAGE(H52:H64)+1</f>
        <v>480.75</v>
      </c>
      <c r="I65" s="173">
        <f t="shared" si="0"/>
        <v>462.25</v>
      </c>
      <c r="J65" s="173">
        <f t="shared" si="0"/>
        <v>451.83333333333331</v>
      </c>
      <c r="K65" s="173">
        <f t="shared" si="0"/>
        <v>441.75</v>
      </c>
      <c r="L65" s="173">
        <f t="shared" si="0"/>
        <v>440.71428571428572</v>
      </c>
      <c r="M65" s="173"/>
      <c r="N65" s="467">
        <f t="shared" si="0"/>
        <v>460.33333333333331</v>
      </c>
    </row>
    <row r="66" spans="1:14" ht="8.25" customHeight="1" x14ac:dyDescent="0.2">
      <c r="A66" s="464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467"/>
    </row>
    <row r="67" spans="1:14" ht="12.75" customHeight="1" x14ac:dyDescent="0.2">
      <c r="A67" s="469" t="s">
        <v>384</v>
      </c>
      <c r="B67" s="173">
        <v>760</v>
      </c>
      <c r="C67" s="173">
        <v>416</v>
      </c>
      <c r="D67" s="173"/>
      <c r="E67" s="173">
        <v>1650</v>
      </c>
      <c r="F67" s="173"/>
      <c r="G67" s="173">
        <v>918</v>
      </c>
      <c r="H67" s="173">
        <v>648</v>
      </c>
      <c r="I67" s="173">
        <v>618</v>
      </c>
      <c r="J67" s="173">
        <v>608</v>
      </c>
      <c r="K67" s="173">
        <v>570</v>
      </c>
      <c r="L67" s="173">
        <v>473</v>
      </c>
      <c r="M67" s="173"/>
      <c r="N67" s="467">
        <v>633</v>
      </c>
    </row>
    <row r="68" spans="1:14" ht="12" customHeight="1" x14ac:dyDescent="0.2">
      <c r="A68" s="469" t="s">
        <v>387</v>
      </c>
      <c r="B68" s="173">
        <v>760</v>
      </c>
      <c r="C68" s="173">
        <v>405</v>
      </c>
      <c r="D68" s="173"/>
      <c r="E68" s="173">
        <v>1375</v>
      </c>
      <c r="F68" s="173"/>
      <c r="G68" s="173">
        <v>851</v>
      </c>
      <c r="H68" s="173">
        <v>630</v>
      </c>
      <c r="I68" s="173">
        <v>600</v>
      </c>
      <c r="J68" s="173">
        <v>586</v>
      </c>
      <c r="K68" s="173">
        <v>552</v>
      </c>
      <c r="L68" s="173">
        <v>467</v>
      </c>
      <c r="M68" s="173"/>
      <c r="N68" s="467">
        <v>624</v>
      </c>
    </row>
    <row r="69" spans="1:14" ht="12" customHeight="1" x14ac:dyDescent="0.2">
      <c r="A69" s="469" t="s">
        <v>398</v>
      </c>
      <c r="B69" s="173">
        <v>760</v>
      </c>
      <c r="C69" s="173">
        <v>406</v>
      </c>
      <c r="D69" s="173"/>
      <c r="E69" s="173">
        <v>1060</v>
      </c>
      <c r="F69" s="173"/>
      <c r="G69" s="173">
        <v>804</v>
      </c>
      <c r="H69" s="173">
        <v>592</v>
      </c>
      <c r="I69" s="173">
        <v>566</v>
      </c>
      <c r="J69" s="173">
        <v>550</v>
      </c>
      <c r="K69" s="173">
        <v>525</v>
      </c>
      <c r="L69" s="173">
        <v>460</v>
      </c>
      <c r="M69" s="173"/>
      <c r="N69" s="467">
        <v>634</v>
      </c>
    </row>
    <row r="70" spans="1:14" ht="12" customHeight="1" x14ac:dyDescent="0.2">
      <c r="A70" s="469" t="s">
        <v>401</v>
      </c>
      <c r="B70" s="173">
        <v>761</v>
      </c>
      <c r="C70" s="173">
        <v>418</v>
      </c>
      <c r="D70" s="173"/>
      <c r="E70" s="173">
        <v>988</v>
      </c>
      <c r="F70" s="173"/>
      <c r="G70" s="173">
        <v>784</v>
      </c>
      <c r="H70" s="173">
        <v>597</v>
      </c>
      <c r="I70" s="173">
        <v>564</v>
      </c>
      <c r="J70" s="173">
        <v>553</v>
      </c>
      <c r="K70" s="173">
        <v>534</v>
      </c>
      <c r="L70" s="173">
        <v>489</v>
      </c>
      <c r="M70" s="173"/>
      <c r="N70" s="467">
        <v>660</v>
      </c>
    </row>
    <row r="71" spans="1:14" ht="11.25" customHeight="1" x14ac:dyDescent="0.2">
      <c r="A71" s="469" t="s">
        <v>417</v>
      </c>
      <c r="B71" s="173">
        <v>765</v>
      </c>
      <c r="C71" s="173">
        <v>425</v>
      </c>
      <c r="D71" s="173"/>
      <c r="E71" s="173">
        <v>950</v>
      </c>
      <c r="F71" s="173"/>
      <c r="G71" s="173">
        <v>857</v>
      </c>
      <c r="H71" s="173">
        <v>658</v>
      </c>
      <c r="I71" s="173">
        <v>614</v>
      </c>
      <c r="J71" s="173">
        <v>609</v>
      </c>
      <c r="K71" s="173">
        <v>572</v>
      </c>
      <c r="L71" s="173">
        <v>492</v>
      </c>
      <c r="M71" s="173"/>
      <c r="N71" s="467">
        <v>663</v>
      </c>
    </row>
    <row r="72" spans="1:14" ht="11.25" customHeight="1" x14ac:dyDescent="0.2">
      <c r="A72" s="469" t="s">
        <v>431</v>
      </c>
      <c r="B72" s="173">
        <v>765</v>
      </c>
      <c r="C72" s="173">
        <v>440</v>
      </c>
      <c r="D72" s="173"/>
      <c r="E72" s="173">
        <v>950</v>
      </c>
      <c r="F72" s="173"/>
      <c r="G72" s="173">
        <v>858</v>
      </c>
      <c r="H72" s="173">
        <v>667</v>
      </c>
      <c r="I72" s="173">
        <v>631</v>
      </c>
      <c r="J72" s="173">
        <v>628</v>
      </c>
      <c r="K72" s="173">
        <v>583</v>
      </c>
      <c r="L72" s="173">
        <v>486</v>
      </c>
      <c r="M72" s="173"/>
      <c r="N72" s="467">
        <v>651</v>
      </c>
    </row>
    <row r="73" spans="1:14" ht="11.25" customHeight="1" x14ac:dyDescent="0.2">
      <c r="A73" s="469" t="s">
        <v>432</v>
      </c>
      <c r="B73" s="173">
        <v>780</v>
      </c>
      <c r="C73" s="173">
        <v>450</v>
      </c>
      <c r="D73" s="173"/>
      <c r="E73" s="173">
        <v>950</v>
      </c>
      <c r="F73" s="173"/>
      <c r="G73" s="173">
        <v>845</v>
      </c>
      <c r="H73" s="173">
        <v>632</v>
      </c>
      <c r="I73" s="173">
        <v>607</v>
      </c>
      <c r="J73" s="173">
        <v>600</v>
      </c>
      <c r="K73" s="173">
        <v>565</v>
      </c>
      <c r="L73" s="173">
        <v>489</v>
      </c>
      <c r="M73" s="173"/>
      <c r="N73" s="467">
        <v>621</v>
      </c>
    </row>
    <row r="74" spans="1:14" ht="11.25" customHeight="1" x14ac:dyDescent="0.2">
      <c r="A74" s="469" t="s">
        <v>447</v>
      </c>
      <c r="B74" s="173">
        <v>800</v>
      </c>
      <c r="C74" s="173">
        <v>441</v>
      </c>
      <c r="D74" s="173"/>
      <c r="E74" s="173">
        <v>864</v>
      </c>
      <c r="F74" s="173"/>
      <c r="G74" s="173">
        <v>830</v>
      </c>
      <c r="H74" s="173">
        <v>622</v>
      </c>
      <c r="I74" s="173">
        <v>602</v>
      </c>
      <c r="J74" s="173">
        <v>592</v>
      </c>
      <c r="K74" s="173">
        <v>560</v>
      </c>
      <c r="L74" s="173">
        <v>486</v>
      </c>
      <c r="M74" s="173"/>
      <c r="N74" s="467">
        <v>595</v>
      </c>
    </row>
    <row r="75" spans="1:14" ht="11.25" customHeight="1" x14ac:dyDescent="0.2">
      <c r="A75" s="469" t="s">
        <v>452</v>
      </c>
      <c r="B75" s="173">
        <v>800</v>
      </c>
      <c r="C75" s="173">
        <v>433</v>
      </c>
      <c r="D75" s="173"/>
      <c r="E75" s="173">
        <v>835</v>
      </c>
      <c r="F75" s="173"/>
      <c r="G75" s="173">
        <v>830</v>
      </c>
      <c r="H75" s="173">
        <v>593</v>
      </c>
      <c r="I75" s="173">
        <v>570</v>
      </c>
      <c r="J75" s="173">
        <v>566</v>
      </c>
      <c r="K75" s="173">
        <v>537</v>
      </c>
      <c r="L75" s="173">
        <v>463</v>
      </c>
      <c r="M75" s="173"/>
      <c r="N75" s="467">
        <v>586</v>
      </c>
    </row>
    <row r="76" spans="1:14" ht="11.25" customHeight="1" x14ac:dyDescent="0.2">
      <c r="A76" s="469" t="s">
        <v>458</v>
      </c>
      <c r="B76" s="173">
        <v>800</v>
      </c>
      <c r="C76" s="173">
        <v>401</v>
      </c>
      <c r="D76" s="173"/>
      <c r="E76" s="173">
        <v>835</v>
      </c>
      <c r="F76" s="173"/>
      <c r="G76" s="173">
        <v>886</v>
      </c>
      <c r="H76" s="173">
        <v>633</v>
      </c>
      <c r="I76" s="173">
        <v>603</v>
      </c>
      <c r="J76" s="173">
        <v>601</v>
      </c>
      <c r="K76" s="173">
        <v>563</v>
      </c>
      <c r="L76" s="173">
        <v>472</v>
      </c>
      <c r="M76" s="173"/>
      <c r="N76" s="467">
        <v>590</v>
      </c>
    </row>
    <row r="77" spans="1:14" ht="11.25" customHeight="1" x14ac:dyDescent="0.2">
      <c r="A77" s="469" t="s">
        <v>465</v>
      </c>
      <c r="B77" s="173">
        <v>800</v>
      </c>
      <c r="C77" s="173">
        <v>405</v>
      </c>
      <c r="D77" s="173"/>
      <c r="E77" s="173">
        <v>835</v>
      </c>
      <c r="F77" s="173"/>
      <c r="G77" s="173">
        <v>885</v>
      </c>
      <c r="H77" s="173">
        <v>630</v>
      </c>
      <c r="I77" s="173">
        <v>606</v>
      </c>
      <c r="J77" s="173">
        <v>591</v>
      </c>
      <c r="K77" s="173">
        <v>559</v>
      </c>
      <c r="L77" s="173">
        <v>463</v>
      </c>
      <c r="M77" s="173"/>
      <c r="N77" s="467">
        <v>583</v>
      </c>
    </row>
    <row r="78" spans="1:14" ht="11.25" customHeight="1" x14ac:dyDescent="0.2">
      <c r="A78" s="469" t="s">
        <v>472</v>
      </c>
      <c r="B78" s="173">
        <v>800</v>
      </c>
      <c r="C78" s="173">
        <v>398</v>
      </c>
      <c r="D78" s="173"/>
      <c r="E78" s="173">
        <v>835</v>
      </c>
      <c r="F78" s="173"/>
      <c r="G78" s="173">
        <v>882</v>
      </c>
      <c r="H78" s="173">
        <v>587</v>
      </c>
      <c r="I78" s="173">
        <v>567</v>
      </c>
      <c r="J78" s="173">
        <v>550</v>
      </c>
      <c r="K78" s="173">
        <v>530</v>
      </c>
      <c r="L78" s="173">
        <v>444</v>
      </c>
      <c r="M78" s="173"/>
      <c r="N78" s="467">
        <v>558</v>
      </c>
    </row>
    <row r="79" spans="1:14" ht="3" customHeight="1" x14ac:dyDescent="0.2">
      <c r="A79" s="464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467"/>
    </row>
    <row r="80" spans="1:14" ht="12.75" customHeight="1" x14ac:dyDescent="0.2">
      <c r="A80" s="469" t="s">
        <v>374</v>
      </c>
      <c r="B80" s="173">
        <f>AVERAGE(B67:B79)</f>
        <v>779.25</v>
      </c>
      <c r="C80" s="173">
        <f>AVERAGE(C67:C79)</f>
        <v>419.83333333333331</v>
      </c>
      <c r="D80" s="173"/>
      <c r="E80" s="173">
        <f t="shared" ref="E80:N80" si="1">AVERAGE(E67:E79)</f>
        <v>1010.5833333333334</v>
      </c>
      <c r="F80" s="173"/>
      <c r="G80" s="173">
        <f t="shared" si="1"/>
        <v>852.5</v>
      </c>
      <c r="H80" s="173">
        <f t="shared" si="1"/>
        <v>624.08333333333337</v>
      </c>
      <c r="I80" s="173">
        <v>562</v>
      </c>
      <c r="J80" s="173">
        <f t="shared" si="1"/>
        <v>586.16666666666663</v>
      </c>
      <c r="K80" s="173">
        <f t="shared" si="1"/>
        <v>554.16666666666663</v>
      </c>
      <c r="L80" s="173">
        <f>AVERAGE(L67:L79)</f>
        <v>473.66666666666669</v>
      </c>
      <c r="M80" s="173"/>
      <c r="N80" s="467">
        <f t="shared" si="1"/>
        <v>616.5</v>
      </c>
    </row>
    <row r="81" spans="1:14" ht="7.5" customHeight="1" x14ac:dyDescent="0.2">
      <c r="A81" s="469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467"/>
    </row>
    <row r="82" spans="1:14" ht="12.75" customHeight="1" x14ac:dyDescent="0.2">
      <c r="A82" s="469" t="s">
        <v>480</v>
      </c>
      <c r="B82" s="173">
        <v>800</v>
      </c>
      <c r="C82" s="173">
        <v>389</v>
      </c>
      <c r="D82" s="173"/>
      <c r="E82" s="173">
        <v>835</v>
      </c>
      <c r="F82" s="173"/>
      <c r="G82" s="173">
        <v>961</v>
      </c>
      <c r="H82" s="173">
        <v>584</v>
      </c>
      <c r="I82" s="173">
        <v>564</v>
      </c>
      <c r="J82" s="173">
        <v>549</v>
      </c>
      <c r="K82" s="173">
        <v>528</v>
      </c>
      <c r="L82" s="173">
        <v>452</v>
      </c>
      <c r="M82" s="173"/>
      <c r="N82" s="467">
        <v>585</v>
      </c>
    </row>
    <row r="83" spans="1:14" ht="12.75" customHeight="1" x14ac:dyDescent="0.2">
      <c r="A83" s="469" t="s">
        <v>479</v>
      </c>
      <c r="B83" s="173">
        <v>800</v>
      </c>
      <c r="C83" s="173">
        <v>395</v>
      </c>
      <c r="D83" s="173"/>
      <c r="E83" s="173">
        <v>835</v>
      </c>
      <c r="F83" s="173"/>
      <c r="G83" s="173">
        <v>1043</v>
      </c>
      <c r="H83" s="173">
        <v>570</v>
      </c>
      <c r="I83" s="173">
        <v>553</v>
      </c>
      <c r="J83" s="173">
        <v>543</v>
      </c>
      <c r="K83" s="173">
        <v>529</v>
      </c>
      <c r="L83" s="173">
        <v>488</v>
      </c>
      <c r="M83" s="173"/>
      <c r="N83" s="467">
        <v>574</v>
      </c>
    </row>
    <row r="84" spans="1:14" ht="12.75" customHeight="1" x14ac:dyDescent="0.2">
      <c r="A84" s="469" t="s">
        <v>478</v>
      </c>
      <c r="B84" s="173">
        <v>800</v>
      </c>
      <c r="C84" s="173">
        <v>405</v>
      </c>
      <c r="D84" s="173"/>
      <c r="E84" s="173">
        <v>835</v>
      </c>
      <c r="F84" s="173"/>
      <c r="G84" s="173">
        <v>1096</v>
      </c>
      <c r="H84" s="173">
        <v>508</v>
      </c>
      <c r="I84" s="173">
        <v>481</v>
      </c>
      <c r="J84" s="173">
        <v>484</v>
      </c>
      <c r="K84" s="173">
        <v>475</v>
      </c>
      <c r="L84" s="173">
        <v>448</v>
      </c>
      <c r="M84" s="173"/>
      <c r="N84" s="467">
        <v>550</v>
      </c>
    </row>
    <row r="85" spans="1:14" ht="3.75" customHeight="1" x14ac:dyDescent="0.2">
      <c r="A85" s="469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467"/>
    </row>
    <row r="86" spans="1:14" ht="12.75" customHeight="1" x14ac:dyDescent="0.2">
      <c r="A86" s="469" t="s">
        <v>466</v>
      </c>
      <c r="B86" s="173">
        <f t="shared" ref="B86:C86" si="2">AVERAGE(B82:B85)</f>
        <v>800</v>
      </c>
      <c r="C86" s="173">
        <f t="shared" si="2"/>
        <v>396.33333333333331</v>
      </c>
      <c r="D86" s="173"/>
      <c r="E86" s="173">
        <v>835</v>
      </c>
      <c r="F86" s="173"/>
      <c r="G86" s="173">
        <f t="shared" ref="G86:L86" si="3">AVERAGE(G82:G85)</f>
        <v>1033.3333333333333</v>
      </c>
      <c r="H86" s="173">
        <f t="shared" si="3"/>
        <v>554</v>
      </c>
      <c r="I86" s="173">
        <f t="shared" si="3"/>
        <v>532.66666666666663</v>
      </c>
      <c r="J86" s="173">
        <f t="shared" si="3"/>
        <v>525.33333333333337</v>
      </c>
      <c r="K86" s="173">
        <f t="shared" si="3"/>
        <v>510.66666666666669</v>
      </c>
      <c r="L86" s="173">
        <f t="shared" si="3"/>
        <v>462.66666666666669</v>
      </c>
      <c r="M86" s="173"/>
      <c r="N86" s="467">
        <f>AVERAGE(N82:N85)</f>
        <v>569.66666666666663</v>
      </c>
    </row>
    <row r="87" spans="1:14" ht="6.6" customHeight="1" x14ac:dyDescent="0.2">
      <c r="A87" s="471"/>
      <c r="B87" s="472"/>
      <c r="C87" s="472"/>
      <c r="D87" s="472"/>
      <c r="E87" s="472"/>
      <c r="F87" s="472"/>
      <c r="G87" s="472"/>
      <c r="H87" s="472"/>
      <c r="I87" s="472"/>
      <c r="J87" s="472"/>
      <c r="K87" s="472"/>
      <c r="L87" s="473"/>
      <c r="M87" s="473"/>
      <c r="N87" s="474"/>
    </row>
    <row r="88" spans="1:14" ht="16.5" customHeight="1" x14ac:dyDescent="0.2">
      <c r="A88" s="158" t="s">
        <v>356</v>
      </c>
    </row>
    <row r="89" spans="1:14" ht="13.5" customHeight="1" x14ac:dyDescent="0.2">
      <c r="A89" s="158" t="s">
        <v>449</v>
      </c>
    </row>
    <row r="90" spans="1:14" ht="12.6" customHeight="1" x14ac:dyDescent="0.2">
      <c r="A90" s="158" t="s">
        <v>448</v>
      </c>
    </row>
    <row r="91" spans="1:14" ht="12.6" customHeight="1" x14ac:dyDescent="0.2">
      <c r="A91" s="158" t="s">
        <v>333</v>
      </c>
    </row>
    <row r="92" spans="1:14" ht="12.6" customHeight="1" x14ac:dyDescent="0.2">
      <c r="A92" s="158" t="s">
        <v>470</v>
      </c>
    </row>
    <row r="93" spans="1:14" ht="12" customHeight="1" x14ac:dyDescent="0.2">
      <c r="A93" s="158" t="s">
        <v>441</v>
      </c>
    </row>
    <row r="94" spans="1:14" ht="12" customHeight="1" x14ac:dyDescent="0.2">
      <c r="A94" s="158" t="s">
        <v>151</v>
      </c>
    </row>
    <row r="95" spans="1:14" ht="12" customHeight="1" x14ac:dyDescent="0.2">
      <c r="A95" s="158" t="s">
        <v>295</v>
      </c>
    </row>
    <row r="96" spans="1:14" ht="12" customHeight="1" x14ac:dyDescent="0.2">
      <c r="A96" s="158" t="s">
        <v>467</v>
      </c>
    </row>
    <row r="97" spans="1:15" ht="12" customHeight="1" x14ac:dyDescent="0.2">
      <c r="A97" s="158" t="s">
        <v>284</v>
      </c>
    </row>
    <row r="98" spans="1:15" ht="12.75" customHeight="1" x14ac:dyDescent="0.2">
      <c r="A98" s="158" t="s">
        <v>411</v>
      </c>
    </row>
    <row r="99" spans="1:15" ht="9.9" customHeight="1" x14ac:dyDescent="0.2">
      <c r="A99" s="158" t="s">
        <v>271</v>
      </c>
    </row>
    <row r="100" spans="1:15" ht="12.75" customHeight="1" x14ac:dyDescent="0.2">
      <c r="A100" s="6" t="s">
        <v>477</v>
      </c>
    </row>
    <row r="106" spans="1:15" x14ac:dyDescent="0.2">
      <c r="G106" s="174"/>
    </row>
    <row r="107" spans="1:15" x14ac:dyDescent="0.2">
      <c r="G107" s="174"/>
    </row>
    <row r="108" spans="1:15" x14ac:dyDescent="0.2">
      <c r="G108" s="174"/>
    </row>
    <row r="109" spans="1:15" x14ac:dyDescent="0.2">
      <c r="G109" s="174"/>
    </row>
    <row r="112" spans="1:15" x14ac:dyDescent="0.2">
      <c r="O112" s="86" t="s">
        <v>60</v>
      </c>
    </row>
    <row r="113" spans="15:16" x14ac:dyDescent="0.2">
      <c r="O113" s="86" t="s">
        <v>60</v>
      </c>
    </row>
    <row r="117" spans="15:16" x14ac:dyDescent="0.2">
      <c r="P117" s="86" t="s">
        <v>60</v>
      </c>
    </row>
    <row r="177" spans="2:15" x14ac:dyDescent="0.2">
      <c r="J177" s="86"/>
      <c r="K177" s="86"/>
      <c r="L177" s="86"/>
      <c r="M177" s="86"/>
      <c r="N177" s="86"/>
    </row>
    <row r="178" spans="2:15" x14ac:dyDescent="0.2">
      <c r="E178" s="87"/>
      <c r="N178" s="86"/>
    </row>
    <row r="179" spans="2:15" x14ac:dyDescent="0.2">
      <c r="B179" s="86"/>
      <c r="H179" s="86"/>
      <c r="N179" s="86"/>
      <c r="O179" s="86"/>
    </row>
    <row r="180" spans="2:15" x14ac:dyDescent="0.2">
      <c r="B180" s="84"/>
      <c r="C180" s="86"/>
      <c r="D180" s="86"/>
      <c r="E180" s="88"/>
      <c r="F180" s="86"/>
      <c r="G180" s="175"/>
      <c r="H180" s="86"/>
      <c r="J180" s="84"/>
      <c r="K180" s="84"/>
      <c r="N180" s="84"/>
    </row>
    <row r="181" spans="2:15" x14ac:dyDescent="0.2">
      <c r="B181" s="89"/>
      <c r="C181" s="89"/>
      <c r="D181" s="89"/>
      <c r="E181" s="90"/>
      <c r="F181" s="89"/>
      <c r="G181" s="176"/>
      <c r="H181" s="86"/>
      <c r="J181" s="86"/>
      <c r="K181" s="86"/>
      <c r="L181" s="84"/>
      <c r="M181" s="84"/>
      <c r="N181" s="84"/>
    </row>
    <row r="182" spans="2:15" x14ac:dyDescent="0.2">
      <c r="B182" s="84"/>
      <c r="C182" s="84"/>
      <c r="D182" s="84"/>
      <c r="E182" s="88"/>
      <c r="F182" s="84"/>
      <c r="G182" s="172"/>
      <c r="J182" s="86"/>
      <c r="K182" s="86"/>
      <c r="L182" s="84"/>
      <c r="M182" s="84"/>
    </row>
    <row r="183" spans="2:15" x14ac:dyDescent="0.2">
      <c r="B183" s="86"/>
      <c r="C183" s="86"/>
      <c r="D183" s="86"/>
      <c r="E183" s="87"/>
      <c r="F183" s="86"/>
      <c r="G183" s="175"/>
      <c r="H183" s="86"/>
      <c r="J183" s="86"/>
      <c r="K183" s="86"/>
      <c r="L183" s="86"/>
      <c r="M183" s="86"/>
      <c r="N183" s="86"/>
      <c r="O183" s="86"/>
    </row>
    <row r="185" spans="2:15" x14ac:dyDescent="0.2">
      <c r="E185" s="87"/>
    </row>
    <row r="187" spans="2:15" x14ac:dyDescent="0.2">
      <c r="G187" s="174"/>
    </row>
    <row r="188" spans="2:15" x14ac:dyDescent="0.2">
      <c r="G188" s="174"/>
    </row>
    <row r="189" spans="2:15" x14ac:dyDescent="0.2">
      <c r="G189" s="174"/>
    </row>
    <row r="190" spans="2:15" x14ac:dyDescent="0.2">
      <c r="G190" s="174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80" sqref="G80"/>
    </sheetView>
  </sheetViews>
  <sheetFormatPr defaultColWidth="8.6640625" defaultRowHeight="11.4" x14ac:dyDescent="0.2"/>
  <cols>
    <col min="1" max="1" width="18.33203125" style="67" customWidth="1"/>
    <col min="2" max="2" width="9.33203125" style="597" customWidth="1"/>
    <col min="3" max="3" width="1.77734375" style="96" customWidth="1"/>
    <col min="4" max="5" width="9.33203125" style="96" customWidth="1"/>
    <col min="6" max="6" width="1.109375" style="96" customWidth="1"/>
    <col min="7" max="7" width="8.77734375" style="597" customWidth="1"/>
    <col min="8" max="8" width="8.77734375" style="96" customWidth="1"/>
    <col min="9" max="9" width="2.109375" style="96" customWidth="1"/>
    <col min="10" max="11" width="9.33203125" style="597" customWidth="1"/>
    <col min="12" max="12" width="1.109375" style="96" customWidth="1"/>
    <col min="13" max="14" width="8.77734375" style="96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08" t="s">
        <v>343</v>
      </c>
      <c r="B1" s="592"/>
      <c r="C1" s="635"/>
      <c r="D1" s="605"/>
      <c r="E1" s="605"/>
      <c r="F1" s="605"/>
      <c r="G1" s="592"/>
      <c r="H1" s="605"/>
      <c r="I1" s="605"/>
      <c r="J1" s="592"/>
      <c r="K1" s="592"/>
      <c r="L1" s="605"/>
      <c r="M1" s="605"/>
      <c r="N1" s="606"/>
      <c r="Y1" s="68"/>
    </row>
    <row r="2" spans="1:25" x14ac:dyDescent="0.2">
      <c r="A2" s="212"/>
      <c r="B2" s="636"/>
      <c r="C2" s="637"/>
      <c r="D2" s="638"/>
      <c r="E2" s="638"/>
      <c r="F2" s="610" t="s">
        <v>463</v>
      </c>
      <c r="G2" s="593"/>
      <c r="H2" s="611"/>
      <c r="I2" s="639"/>
      <c r="J2" s="640"/>
      <c r="K2" s="640"/>
      <c r="L2" s="610" t="s">
        <v>446</v>
      </c>
      <c r="M2" s="610"/>
      <c r="N2" s="612"/>
      <c r="Y2" s="70"/>
    </row>
    <row r="3" spans="1:25" x14ac:dyDescent="0.2">
      <c r="A3" s="212"/>
      <c r="B3" s="594"/>
      <c r="C3" s="615"/>
      <c r="D3" s="641" t="str">
        <f>J3</f>
        <v>September</v>
      </c>
      <c r="E3" s="641" t="str">
        <f>K3</f>
        <v>October</v>
      </c>
      <c r="F3" s="642"/>
      <c r="G3" s="594" t="s">
        <v>169</v>
      </c>
      <c r="H3" s="615" t="s">
        <v>170</v>
      </c>
      <c r="I3" s="615"/>
      <c r="J3" s="643" t="s">
        <v>48</v>
      </c>
      <c r="K3" s="643" t="s">
        <v>49</v>
      </c>
      <c r="L3" s="642"/>
      <c r="M3" s="615" t="s">
        <v>169</v>
      </c>
      <c r="N3" s="616" t="s">
        <v>170</v>
      </c>
      <c r="Y3" s="70"/>
    </row>
    <row r="4" spans="1:25" x14ac:dyDescent="0.2">
      <c r="A4" s="216" t="s">
        <v>454</v>
      </c>
      <c r="B4" s="593" t="s">
        <v>383</v>
      </c>
      <c r="C4" s="644"/>
      <c r="D4" s="650">
        <v>2024</v>
      </c>
      <c r="E4" s="650">
        <v>2024</v>
      </c>
      <c r="F4" s="595"/>
      <c r="G4" s="595" t="s">
        <v>171</v>
      </c>
      <c r="H4" s="644" t="s">
        <v>172</v>
      </c>
      <c r="I4" s="644"/>
      <c r="J4" s="650">
        <v>2024</v>
      </c>
      <c r="K4" s="650">
        <v>2024</v>
      </c>
      <c r="L4" s="595"/>
      <c r="M4" s="644" t="s">
        <v>171</v>
      </c>
      <c r="N4" s="645" t="s">
        <v>172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4.25" customHeight="1" x14ac:dyDescent="0.2">
      <c r="A5" s="218"/>
      <c r="F5" s="646"/>
      <c r="G5" s="596" t="s">
        <v>376</v>
      </c>
      <c r="L5" s="646"/>
      <c r="N5" s="221"/>
      <c r="Y5" s="68"/>
    </row>
    <row r="6" spans="1:25" ht="10.95" customHeight="1" x14ac:dyDescent="0.2">
      <c r="A6" s="220"/>
      <c r="N6" s="221"/>
      <c r="Y6" s="68"/>
    </row>
    <row r="7" spans="1:25" ht="12.75" customHeight="1" x14ac:dyDescent="0.2">
      <c r="A7" s="220" t="s">
        <v>173</v>
      </c>
      <c r="B7" s="599">
        <v>258</v>
      </c>
      <c r="D7" s="97">
        <v>270</v>
      </c>
      <c r="E7" s="97">
        <v>270</v>
      </c>
      <c r="G7" s="598">
        <f>E7-D7</f>
        <v>0</v>
      </c>
      <c r="H7" s="96">
        <f>E7-B7</f>
        <v>12</v>
      </c>
      <c r="J7" s="599">
        <v>270</v>
      </c>
      <c r="K7" s="599">
        <v>270</v>
      </c>
      <c r="M7" s="598">
        <f>K7-J7</f>
        <v>0</v>
      </c>
      <c r="N7" s="221">
        <f t="shared" ref="N7:N43" si="0">K7-E7</f>
        <v>0</v>
      </c>
      <c r="O7" s="156"/>
      <c r="Y7" s="68"/>
    </row>
    <row r="8" spans="1:25" x14ac:dyDescent="0.2">
      <c r="A8" s="220" t="s">
        <v>174</v>
      </c>
      <c r="B8" s="599">
        <v>756</v>
      </c>
      <c r="D8" s="97">
        <v>825</v>
      </c>
      <c r="E8" s="97">
        <v>845</v>
      </c>
      <c r="G8" s="598">
        <f t="shared" ref="G8:G72" si="1">E8-D8</f>
        <v>20</v>
      </c>
      <c r="H8" s="96">
        <f t="shared" ref="H8:H71" si="2">E8-B8</f>
        <v>89</v>
      </c>
      <c r="J8" s="599">
        <v>900</v>
      </c>
      <c r="K8" s="599">
        <v>900</v>
      </c>
      <c r="M8" s="598">
        <f t="shared" ref="M8:M72" si="3">K8-J8</f>
        <v>0</v>
      </c>
      <c r="N8" s="221">
        <f t="shared" si="0"/>
        <v>55</v>
      </c>
      <c r="O8" s="156"/>
      <c r="Y8" s="68"/>
    </row>
    <row r="9" spans="1:25" x14ac:dyDescent="0.2">
      <c r="A9" s="220" t="s">
        <v>175</v>
      </c>
      <c r="B9" s="599">
        <v>366</v>
      </c>
      <c r="D9" s="97">
        <v>447</v>
      </c>
      <c r="E9" s="97">
        <v>447</v>
      </c>
      <c r="G9" s="598">
        <f t="shared" si="1"/>
        <v>0</v>
      </c>
      <c r="H9" s="96">
        <f t="shared" si="2"/>
        <v>81</v>
      </c>
      <c r="J9" s="599">
        <v>373</v>
      </c>
      <c r="K9" s="599">
        <v>373</v>
      </c>
      <c r="M9" s="598">
        <f t="shared" si="3"/>
        <v>0</v>
      </c>
      <c r="N9" s="221">
        <f t="shared" si="0"/>
        <v>-74</v>
      </c>
      <c r="O9" s="156"/>
      <c r="Y9" s="68"/>
    </row>
    <row r="10" spans="1:25" x14ac:dyDescent="0.2">
      <c r="A10" s="220" t="s">
        <v>176</v>
      </c>
      <c r="B10" s="599">
        <v>36350</v>
      </c>
      <c r="D10" s="97">
        <v>37000</v>
      </c>
      <c r="E10" s="97">
        <v>37000</v>
      </c>
      <c r="G10" s="598">
        <f t="shared" si="1"/>
        <v>0</v>
      </c>
      <c r="H10" s="96">
        <f t="shared" si="2"/>
        <v>650</v>
      </c>
      <c r="J10" s="599">
        <v>37300</v>
      </c>
      <c r="K10" s="599">
        <v>37300</v>
      </c>
      <c r="M10" s="598">
        <f t="shared" si="3"/>
        <v>0</v>
      </c>
      <c r="N10" s="221">
        <f t="shared" si="0"/>
        <v>300</v>
      </c>
      <c r="O10" s="156"/>
      <c r="Y10" s="68"/>
    </row>
    <row r="11" spans="1:25" x14ac:dyDescent="0.2">
      <c r="A11" s="220" t="s">
        <v>264</v>
      </c>
      <c r="B11" s="599">
        <v>336</v>
      </c>
      <c r="D11" s="97">
        <v>316</v>
      </c>
      <c r="E11" s="97">
        <v>316</v>
      </c>
      <c r="G11" s="598">
        <f t="shared" si="1"/>
        <v>0</v>
      </c>
      <c r="H11" s="96">
        <f t="shared" si="2"/>
        <v>-20</v>
      </c>
      <c r="J11" s="599">
        <v>355</v>
      </c>
      <c r="K11" s="599">
        <v>355</v>
      </c>
      <c r="M11" s="598">
        <f t="shared" si="3"/>
        <v>0</v>
      </c>
      <c r="N11" s="221">
        <f t="shared" si="0"/>
        <v>39</v>
      </c>
      <c r="O11" s="156"/>
      <c r="Y11" s="68"/>
    </row>
    <row r="12" spans="1:25" x14ac:dyDescent="0.2">
      <c r="A12" s="220" t="s">
        <v>263</v>
      </c>
      <c r="B12" s="599">
        <v>380</v>
      </c>
      <c r="D12" s="97">
        <v>385</v>
      </c>
      <c r="E12" s="97">
        <v>385</v>
      </c>
      <c r="G12" s="598">
        <f t="shared" si="1"/>
        <v>0</v>
      </c>
      <c r="H12" s="96">
        <f t="shared" si="2"/>
        <v>5</v>
      </c>
      <c r="J12" s="599">
        <v>395</v>
      </c>
      <c r="K12" s="599">
        <v>395</v>
      </c>
      <c r="M12" s="598">
        <f t="shared" si="3"/>
        <v>0</v>
      </c>
      <c r="N12" s="221">
        <f t="shared" si="0"/>
        <v>10</v>
      </c>
      <c r="O12" s="156"/>
      <c r="Y12" s="68"/>
    </row>
    <row r="13" spans="1:25" x14ac:dyDescent="0.2">
      <c r="A13" s="220" t="s">
        <v>177</v>
      </c>
      <c r="B13" s="647">
        <v>6822</v>
      </c>
      <c r="D13" s="97">
        <v>7225</v>
      </c>
      <c r="E13" s="97">
        <v>7200</v>
      </c>
      <c r="G13" s="598">
        <f t="shared" si="1"/>
        <v>-25</v>
      </c>
      <c r="H13" s="96">
        <f t="shared" si="2"/>
        <v>378</v>
      </c>
      <c r="J13" s="599">
        <v>7500</v>
      </c>
      <c r="K13" s="599">
        <v>7500</v>
      </c>
      <c r="M13" s="598">
        <f t="shared" si="3"/>
        <v>0</v>
      </c>
      <c r="N13" s="221">
        <f t="shared" si="0"/>
        <v>300</v>
      </c>
      <c r="O13" s="156"/>
      <c r="Y13" s="68"/>
    </row>
    <row r="14" spans="1:25" x14ac:dyDescent="0.2">
      <c r="A14" s="220" t="s">
        <v>178</v>
      </c>
      <c r="B14" s="599">
        <v>11800</v>
      </c>
      <c r="D14" s="97">
        <v>11900</v>
      </c>
      <c r="E14" s="97">
        <v>11900</v>
      </c>
      <c r="G14" s="598">
        <f t="shared" si="1"/>
        <v>0</v>
      </c>
      <c r="H14" s="96">
        <f t="shared" si="2"/>
        <v>100</v>
      </c>
      <c r="J14" s="599">
        <v>12100</v>
      </c>
      <c r="K14" s="599">
        <v>12100</v>
      </c>
      <c r="M14" s="598">
        <f t="shared" si="3"/>
        <v>0</v>
      </c>
      <c r="N14" s="221">
        <f t="shared" si="0"/>
        <v>200</v>
      </c>
      <c r="O14" s="156"/>
      <c r="Y14" s="68"/>
    </row>
    <row r="15" spans="1:25" x14ac:dyDescent="0.2">
      <c r="A15" s="220" t="s">
        <v>179</v>
      </c>
      <c r="B15" s="599">
        <v>6963</v>
      </c>
      <c r="D15" s="97">
        <v>7174</v>
      </c>
      <c r="E15" s="97">
        <v>7174</v>
      </c>
      <c r="G15" s="598">
        <f t="shared" si="1"/>
        <v>0</v>
      </c>
      <c r="H15" s="96">
        <f t="shared" si="2"/>
        <v>211</v>
      </c>
      <c r="J15" s="599">
        <v>7377</v>
      </c>
      <c r="K15" s="599">
        <v>7377</v>
      </c>
      <c r="M15" s="598">
        <f t="shared" si="3"/>
        <v>0</v>
      </c>
      <c r="N15" s="221">
        <f t="shared" si="0"/>
        <v>203</v>
      </c>
      <c r="O15" s="156"/>
      <c r="Y15" s="68"/>
    </row>
    <row r="16" spans="1:25" x14ac:dyDescent="0.2">
      <c r="A16" s="220" t="s">
        <v>258</v>
      </c>
      <c r="B16" s="599">
        <v>189</v>
      </c>
      <c r="D16" s="97">
        <v>189</v>
      </c>
      <c r="E16" s="97">
        <v>189</v>
      </c>
      <c r="G16" s="598">
        <f t="shared" si="1"/>
        <v>0</v>
      </c>
      <c r="H16" s="96">
        <f t="shared" si="2"/>
        <v>0</v>
      </c>
      <c r="J16" s="599">
        <v>189</v>
      </c>
      <c r="K16" s="599">
        <v>189</v>
      </c>
      <c r="M16" s="598">
        <f t="shared" si="3"/>
        <v>0</v>
      </c>
      <c r="N16" s="221">
        <f t="shared" si="0"/>
        <v>0</v>
      </c>
      <c r="O16" s="156"/>
      <c r="Y16" s="68"/>
    </row>
    <row r="17" spans="1:25" x14ac:dyDescent="0.2">
      <c r="A17" s="220" t="s">
        <v>418</v>
      </c>
      <c r="B17" s="599">
        <v>70</v>
      </c>
      <c r="D17" s="97">
        <v>76</v>
      </c>
      <c r="E17" s="97">
        <v>76</v>
      </c>
      <c r="G17" s="598">
        <f t="shared" si="1"/>
        <v>0</v>
      </c>
      <c r="H17" s="96">
        <f t="shared" si="2"/>
        <v>6</v>
      </c>
      <c r="J17" s="599">
        <v>100</v>
      </c>
      <c r="K17" s="599">
        <v>100</v>
      </c>
      <c r="M17" s="598">
        <f t="shared" si="3"/>
        <v>0</v>
      </c>
      <c r="N17" s="221">
        <f t="shared" si="0"/>
        <v>24</v>
      </c>
      <c r="O17" s="156"/>
      <c r="Y17" s="68"/>
    </row>
    <row r="18" spans="1:25" x14ac:dyDescent="0.2">
      <c r="A18" s="220" t="s">
        <v>180</v>
      </c>
      <c r="B18" s="599">
        <v>145946</v>
      </c>
      <c r="D18" s="97">
        <v>144620</v>
      </c>
      <c r="E18" s="97">
        <v>144620</v>
      </c>
      <c r="G18" s="598">
        <f t="shared" si="1"/>
        <v>0</v>
      </c>
      <c r="H18" s="96">
        <f t="shared" si="2"/>
        <v>-1326</v>
      </c>
      <c r="J18" s="599">
        <v>146000</v>
      </c>
      <c r="K18" s="599">
        <v>146000</v>
      </c>
      <c r="M18" s="598">
        <f t="shared" si="3"/>
        <v>0</v>
      </c>
      <c r="N18" s="221">
        <f t="shared" si="0"/>
        <v>1380</v>
      </c>
      <c r="O18" s="156"/>
      <c r="Y18" s="68"/>
    </row>
    <row r="19" spans="1:25" x14ac:dyDescent="0.2">
      <c r="A19" s="220" t="s">
        <v>181</v>
      </c>
      <c r="B19" s="599">
        <v>1718</v>
      </c>
      <c r="D19" s="97">
        <v>1930</v>
      </c>
      <c r="E19" s="97">
        <v>1930</v>
      </c>
      <c r="G19" s="598">
        <f t="shared" si="1"/>
        <v>0</v>
      </c>
      <c r="H19" s="96">
        <f t="shared" si="2"/>
        <v>212</v>
      </c>
      <c r="J19" s="599">
        <v>1930</v>
      </c>
      <c r="K19" s="599">
        <v>1930</v>
      </c>
      <c r="M19" s="598">
        <f t="shared" si="3"/>
        <v>0</v>
      </c>
      <c r="N19" s="221">
        <f t="shared" si="0"/>
        <v>0</v>
      </c>
      <c r="O19" s="156"/>
      <c r="Y19" s="68"/>
    </row>
    <row r="20" spans="1:25" x14ac:dyDescent="0.2">
      <c r="A20" s="220" t="s">
        <v>318</v>
      </c>
      <c r="B20" s="599">
        <v>1066</v>
      </c>
      <c r="D20" s="97">
        <v>1071</v>
      </c>
      <c r="E20" s="97">
        <v>1071</v>
      </c>
      <c r="G20" s="597">
        <f t="shared" si="1"/>
        <v>0</v>
      </c>
      <c r="H20" s="96">
        <f t="shared" si="2"/>
        <v>5</v>
      </c>
      <c r="J20" s="599">
        <v>1071</v>
      </c>
      <c r="K20" s="599">
        <v>1071</v>
      </c>
      <c r="M20" s="598">
        <f t="shared" si="3"/>
        <v>0</v>
      </c>
      <c r="N20" s="221">
        <f t="shared" si="0"/>
        <v>0</v>
      </c>
      <c r="O20" s="156"/>
      <c r="Y20" s="68"/>
    </row>
    <row r="21" spans="1:25" x14ac:dyDescent="0.2">
      <c r="A21" s="220" t="s">
        <v>272</v>
      </c>
      <c r="B21" s="599">
        <v>68</v>
      </c>
      <c r="D21" s="97">
        <v>42</v>
      </c>
      <c r="E21" s="97">
        <v>42</v>
      </c>
      <c r="G21" s="598">
        <f t="shared" si="1"/>
        <v>0</v>
      </c>
      <c r="H21" s="96">
        <f t="shared" si="2"/>
        <v>-26</v>
      </c>
      <c r="J21" s="599">
        <v>42</v>
      </c>
      <c r="K21" s="599">
        <v>42</v>
      </c>
      <c r="M21" s="598">
        <f t="shared" si="3"/>
        <v>0</v>
      </c>
      <c r="N21" s="221">
        <f t="shared" si="0"/>
        <v>0</v>
      </c>
      <c r="O21" s="156"/>
      <c r="Y21" s="68"/>
    </row>
    <row r="22" spans="1:25" x14ac:dyDescent="0.2">
      <c r="A22" s="220" t="s">
        <v>182</v>
      </c>
      <c r="B22" s="599">
        <v>1295</v>
      </c>
      <c r="D22" s="97">
        <v>1308</v>
      </c>
      <c r="E22" s="97">
        <v>1308</v>
      </c>
      <c r="G22" s="598">
        <f t="shared" si="1"/>
        <v>0</v>
      </c>
      <c r="H22" s="96">
        <f t="shared" si="2"/>
        <v>13</v>
      </c>
      <c r="J22" s="599">
        <v>1300</v>
      </c>
      <c r="K22" s="599">
        <v>1300</v>
      </c>
      <c r="M22" s="598">
        <f t="shared" si="3"/>
        <v>0</v>
      </c>
      <c r="N22" s="221">
        <f t="shared" si="0"/>
        <v>-8</v>
      </c>
      <c r="O22" s="156"/>
      <c r="Y22" s="68"/>
    </row>
    <row r="23" spans="1:25" x14ac:dyDescent="0.2">
      <c r="A23" s="220" t="s">
        <v>183</v>
      </c>
      <c r="B23" s="599">
        <v>94</v>
      </c>
      <c r="D23" s="97">
        <v>130</v>
      </c>
      <c r="E23" s="97">
        <v>130</v>
      </c>
      <c r="G23" s="598">
        <f t="shared" si="1"/>
        <v>0</v>
      </c>
      <c r="H23" s="96">
        <f t="shared" si="2"/>
        <v>36</v>
      </c>
      <c r="J23" s="599">
        <v>153</v>
      </c>
      <c r="K23" s="599">
        <v>153</v>
      </c>
      <c r="M23" s="598">
        <f t="shared" si="3"/>
        <v>0</v>
      </c>
      <c r="N23" s="221">
        <f t="shared" si="0"/>
        <v>23</v>
      </c>
      <c r="O23" s="156"/>
      <c r="Y23" s="68"/>
    </row>
    <row r="24" spans="1:25" x14ac:dyDescent="0.2">
      <c r="A24" s="220" t="s">
        <v>184</v>
      </c>
      <c r="B24" s="599">
        <v>686</v>
      </c>
      <c r="D24" s="97">
        <v>680</v>
      </c>
      <c r="E24" s="97">
        <v>680</v>
      </c>
      <c r="G24" s="598">
        <f t="shared" si="1"/>
        <v>0</v>
      </c>
      <c r="H24" s="96">
        <f t="shared" si="2"/>
        <v>-6</v>
      </c>
      <c r="J24" s="599">
        <v>680</v>
      </c>
      <c r="K24" s="599">
        <v>680</v>
      </c>
      <c r="M24" s="598">
        <f t="shared" si="3"/>
        <v>0</v>
      </c>
      <c r="N24" s="221">
        <f t="shared" si="0"/>
        <v>0</v>
      </c>
      <c r="O24" s="156"/>
      <c r="Y24" s="68"/>
    </row>
    <row r="25" spans="1:25" x14ac:dyDescent="0.2">
      <c r="A25" s="220" t="s">
        <v>276</v>
      </c>
      <c r="B25" s="599">
        <v>984</v>
      </c>
      <c r="D25" s="97">
        <v>865</v>
      </c>
      <c r="E25" s="97">
        <v>865</v>
      </c>
      <c r="G25" s="598">
        <f t="shared" si="1"/>
        <v>0</v>
      </c>
      <c r="H25" s="96">
        <f t="shared" si="2"/>
        <v>-119</v>
      </c>
      <c r="J25" s="599">
        <v>900</v>
      </c>
      <c r="K25" s="599">
        <v>900</v>
      </c>
      <c r="M25" s="598">
        <f t="shared" si="3"/>
        <v>0</v>
      </c>
      <c r="N25" s="221">
        <f t="shared" si="0"/>
        <v>35</v>
      </c>
      <c r="O25" s="156"/>
      <c r="Y25" s="68"/>
    </row>
    <row r="26" spans="1:25" x14ac:dyDescent="0.2">
      <c r="A26" s="220" t="s">
        <v>185</v>
      </c>
      <c r="B26" s="599">
        <v>3600</v>
      </c>
      <c r="D26" s="97">
        <v>3780</v>
      </c>
      <c r="E26" s="97">
        <v>3780</v>
      </c>
      <c r="G26" s="598">
        <f t="shared" si="1"/>
        <v>0</v>
      </c>
      <c r="H26" s="96">
        <f t="shared" si="2"/>
        <v>180</v>
      </c>
      <c r="J26" s="599">
        <v>3600</v>
      </c>
      <c r="K26" s="599">
        <v>3900</v>
      </c>
      <c r="M26" s="598">
        <f t="shared" si="3"/>
        <v>300</v>
      </c>
      <c r="N26" s="221">
        <f t="shared" si="0"/>
        <v>120</v>
      </c>
      <c r="O26" s="156"/>
      <c r="Y26" s="68"/>
    </row>
    <row r="27" spans="1:25" x14ac:dyDescent="0.2">
      <c r="A27" s="220" t="s">
        <v>379</v>
      </c>
      <c r="B27" s="599">
        <v>10</v>
      </c>
      <c r="D27" s="97">
        <v>10</v>
      </c>
      <c r="E27" s="97">
        <v>10</v>
      </c>
      <c r="G27" s="598">
        <f t="shared" si="1"/>
        <v>0</v>
      </c>
      <c r="H27" s="96">
        <f t="shared" si="2"/>
        <v>0</v>
      </c>
      <c r="J27" s="599">
        <v>10</v>
      </c>
      <c r="K27" s="599">
        <v>10</v>
      </c>
      <c r="M27" s="598">
        <f t="shared" si="3"/>
        <v>0</v>
      </c>
      <c r="N27" s="221">
        <f t="shared" si="0"/>
        <v>0</v>
      </c>
      <c r="O27" s="156"/>
      <c r="Y27" s="68"/>
    </row>
    <row r="28" spans="1:25" x14ac:dyDescent="0.2">
      <c r="A28" s="220" t="s">
        <v>255</v>
      </c>
      <c r="B28" s="599">
        <v>135</v>
      </c>
      <c r="D28" s="97">
        <v>140</v>
      </c>
      <c r="E28" s="97">
        <v>140</v>
      </c>
      <c r="G28" s="598">
        <f t="shared" si="1"/>
        <v>0</v>
      </c>
      <c r="H28" s="96">
        <f t="shared" si="2"/>
        <v>5</v>
      </c>
      <c r="J28" s="599">
        <v>140</v>
      </c>
      <c r="K28" s="599">
        <v>140</v>
      </c>
      <c r="M28" s="598">
        <f t="shared" si="3"/>
        <v>0</v>
      </c>
      <c r="N28" s="221">
        <f t="shared" si="0"/>
        <v>0</v>
      </c>
      <c r="O28" s="156"/>
      <c r="Y28" s="68"/>
    </row>
    <row r="29" spans="1:25" x14ac:dyDescent="0.2">
      <c r="A29" s="220" t="s">
        <v>186</v>
      </c>
      <c r="B29" s="599">
        <v>1287</v>
      </c>
      <c r="D29" s="97">
        <v>1380</v>
      </c>
      <c r="E29" s="97">
        <v>1380</v>
      </c>
      <c r="G29" s="598">
        <f t="shared" si="1"/>
        <v>0</v>
      </c>
      <c r="H29" s="96">
        <f t="shared" si="2"/>
        <v>93</v>
      </c>
      <c r="J29" s="599">
        <v>1716</v>
      </c>
      <c r="K29" s="599">
        <v>1716</v>
      </c>
      <c r="M29" s="598">
        <f t="shared" si="3"/>
        <v>0</v>
      </c>
      <c r="N29" s="221">
        <f t="shared" si="0"/>
        <v>336</v>
      </c>
      <c r="O29" s="156"/>
      <c r="Y29" s="68"/>
    </row>
    <row r="30" spans="1:25" x14ac:dyDescent="0.2">
      <c r="A30" s="220" t="s">
        <v>187</v>
      </c>
      <c r="B30" s="599">
        <v>885</v>
      </c>
      <c r="D30" s="97">
        <v>1009</v>
      </c>
      <c r="E30" s="97">
        <v>1009</v>
      </c>
      <c r="G30" s="598">
        <f t="shared" si="1"/>
        <v>0</v>
      </c>
      <c r="H30" s="96">
        <f t="shared" si="2"/>
        <v>124</v>
      </c>
      <c r="J30" s="599">
        <v>759</v>
      </c>
      <c r="K30" s="599">
        <v>759</v>
      </c>
      <c r="M30" s="598">
        <f t="shared" si="3"/>
        <v>0</v>
      </c>
      <c r="N30" s="221">
        <f t="shared" si="0"/>
        <v>-250</v>
      </c>
      <c r="O30" s="156"/>
      <c r="Y30" s="68"/>
    </row>
    <row r="31" spans="1:25" x14ac:dyDescent="0.2">
      <c r="A31" s="220" t="s">
        <v>188</v>
      </c>
      <c r="B31" s="599">
        <v>1665</v>
      </c>
      <c r="D31" s="97">
        <v>1650</v>
      </c>
      <c r="E31" s="97">
        <v>1650</v>
      </c>
      <c r="G31" s="598">
        <f t="shared" si="1"/>
        <v>0</v>
      </c>
      <c r="H31" s="96">
        <f t="shared" si="2"/>
        <v>-15</v>
      </c>
      <c r="J31" s="599">
        <v>1650</v>
      </c>
      <c r="K31" s="599">
        <v>1650</v>
      </c>
      <c r="M31" s="598">
        <f t="shared" si="3"/>
        <v>0</v>
      </c>
      <c r="N31" s="221">
        <f t="shared" si="0"/>
        <v>0</v>
      </c>
      <c r="O31" s="156"/>
      <c r="Y31" s="68"/>
    </row>
    <row r="32" spans="1:25" x14ac:dyDescent="0.2">
      <c r="A32" s="220" t="s">
        <v>189</v>
      </c>
      <c r="B32" s="599">
        <v>611</v>
      </c>
      <c r="D32" s="97">
        <v>650</v>
      </c>
      <c r="E32" s="97">
        <v>654</v>
      </c>
      <c r="G32" s="598">
        <f t="shared" si="1"/>
        <v>4</v>
      </c>
      <c r="H32" s="96">
        <f t="shared" si="2"/>
        <v>43</v>
      </c>
      <c r="J32" s="599">
        <v>680</v>
      </c>
      <c r="K32" s="599">
        <v>720</v>
      </c>
      <c r="M32" s="598">
        <f t="shared" si="3"/>
        <v>40</v>
      </c>
      <c r="N32" s="221">
        <f t="shared" si="0"/>
        <v>66</v>
      </c>
      <c r="O32" s="156"/>
      <c r="Y32" s="68"/>
    </row>
    <row r="33" spans="1:25" x14ac:dyDescent="0.2">
      <c r="A33" s="220" t="s">
        <v>190</v>
      </c>
      <c r="B33" s="599">
        <v>135755</v>
      </c>
      <c r="D33" s="97">
        <v>137000</v>
      </c>
      <c r="E33" s="97">
        <v>137825</v>
      </c>
      <c r="G33" s="598">
        <f t="shared" si="1"/>
        <v>825</v>
      </c>
      <c r="H33" s="96">
        <f t="shared" si="2"/>
        <v>2070</v>
      </c>
      <c r="J33" s="599">
        <v>139000</v>
      </c>
      <c r="K33" s="599">
        <v>142000</v>
      </c>
      <c r="M33" s="598">
        <f t="shared" si="3"/>
        <v>3000</v>
      </c>
      <c r="N33" s="221">
        <f t="shared" si="0"/>
        <v>4175</v>
      </c>
      <c r="O33" s="156"/>
      <c r="Y33" s="68"/>
    </row>
    <row r="34" spans="1:25" x14ac:dyDescent="0.2">
      <c r="A34" s="220" t="s">
        <v>191</v>
      </c>
      <c r="B34" s="599">
        <v>33900</v>
      </c>
      <c r="D34" s="97">
        <v>33020</v>
      </c>
      <c r="E34" s="97">
        <v>33020</v>
      </c>
      <c r="G34" s="597">
        <f t="shared" si="1"/>
        <v>0</v>
      </c>
      <c r="H34" s="96">
        <f t="shared" si="2"/>
        <v>-880</v>
      </c>
      <c r="J34" s="599">
        <v>34000</v>
      </c>
      <c r="K34" s="599">
        <v>34000</v>
      </c>
      <c r="M34" s="598">
        <f t="shared" si="3"/>
        <v>0</v>
      </c>
      <c r="N34" s="221">
        <f t="shared" si="0"/>
        <v>980</v>
      </c>
      <c r="O34" s="156"/>
      <c r="Y34" s="68"/>
    </row>
    <row r="35" spans="1:25" x14ac:dyDescent="0.2">
      <c r="A35" s="220" t="s">
        <v>192</v>
      </c>
      <c r="B35" s="599">
        <v>2000</v>
      </c>
      <c r="D35" s="97">
        <v>1995</v>
      </c>
      <c r="E35" s="97">
        <v>1995</v>
      </c>
      <c r="G35" s="598">
        <f t="shared" si="1"/>
        <v>0</v>
      </c>
      <c r="H35" s="96">
        <f t="shared" si="2"/>
        <v>-5</v>
      </c>
      <c r="J35" s="599">
        <v>2000</v>
      </c>
      <c r="K35" s="599">
        <v>2000</v>
      </c>
      <c r="M35" s="598">
        <f t="shared" si="3"/>
        <v>0</v>
      </c>
      <c r="N35" s="221">
        <f t="shared" si="0"/>
        <v>5</v>
      </c>
      <c r="O35" s="156"/>
      <c r="Y35" s="68"/>
    </row>
    <row r="36" spans="1:25" x14ac:dyDescent="0.2">
      <c r="A36" s="220" t="s">
        <v>193</v>
      </c>
      <c r="B36" s="599">
        <v>7</v>
      </c>
      <c r="D36" s="97">
        <v>20</v>
      </c>
      <c r="E36" s="97">
        <v>20</v>
      </c>
      <c r="G36" s="598">
        <f t="shared" si="1"/>
        <v>0</v>
      </c>
      <c r="H36" s="96">
        <f t="shared" si="2"/>
        <v>13</v>
      </c>
      <c r="J36" s="599">
        <v>277</v>
      </c>
      <c r="K36" s="599">
        <v>277</v>
      </c>
      <c r="M36" s="598">
        <f t="shared" si="3"/>
        <v>0</v>
      </c>
      <c r="N36" s="221">
        <f t="shared" si="0"/>
        <v>257</v>
      </c>
      <c r="O36" s="156"/>
      <c r="Y36" s="68"/>
    </row>
    <row r="37" spans="1:25" x14ac:dyDescent="0.2">
      <c r="A37" s="220" t="s">
        <v>194</v>
      </c>
      <c r="B37" s="599">
        <v>7480</v>
      </c>
      <c r="D37" s="97">
        <v>7272</v>
      </c>
      <c r="E37" s="97">
        <v>7297</v>
      </c>
      <c r="G37" s="598">
        <f t="shared" si="1"/>
        <v>25</v>
      </c>
      <c r="H37" s="96">
        <f t="shared" si="2"/>
        <v>-183</v>
      </c>
      <c r="J37" s="599">
        <v>7200</v>
      </c>
      <c r="K37" s="599">
        <v>7350</v>
      </c>
      <c r="M37" s="598">
        <f t="shared" si="3"/>
        <v>150</v>
      </c>
      <c r="N37" s="221">
        <f t="shared" si="0"/>
        <v>53</v>
      </c>
      <c r="O37" s="156"/>
      <c r="Y37" s="68"/>
    </row>
    <row r="38" spans="1:25" x14ac:dyDescent="0.2">
      <c r="A38" s="220" t="s">
        <v>229</v>
      </c>
      <c r="B38" s="599">
        <v>280</v>
      </c>
      <c r="D38" s="97">
        <v>315</v>
      </c>
      <c r="E38" s="97">
        <v>315</v>
      </c>
      <c r="G38" s="598">
        <f t="shared" si="1"/>
        <v>0</v>
      </c>
      <c r="H38" s="96">
        <f t="shared" si="2"/>
        <v>35</v>
      </c>
      <c r="J38" s="599">
        <v>315</v>
      </c>
      <c r="K38" s="599">
        <v>315</v>
      </c>
      <c r="M38" s="598">
        <f t="shared" si="3"/>
        <v>0</v>
      </c>
      <c r="N38" s="221">
        <f t="shared" si="0"/>
        <v>0</v>
      </c>
      <c r="O38" s="156"/>
      <c r="Y38" s="68"/>
    </row>
    <row r="39" spans="1:25" x14ac:dyDescent="0.2">
      <c r="A39" s="220" t="s">
        <v>195</v>
      </c>
      <c r="B39" s="599">
        <v>1360</v>
      </c>
      <c r="D39" s="97">
        <v>1470</v>
      </c>
      <c r="E39" s="97">
        <v>1470</v>
      </c>
      <c r="G39" s="598">
        <f t="shared" si="1"/>
        <v>0</v>
      </c>
      <c r="H39" s="96">
        <f t="shared" si="2"/>
        <v>110</v>
      </c>
      <c r="J39" s="599">
        <v>1470</v>
      </c>
      <c r="K39" s="599">
        <v>1470</v>
      </c>
      <c r="M39" s="598">
        <f t="shared" si="3"/>
        <v>0</v>
      </c>
      <c r="N39" s="221">
        <f t="shared" si="0"/>
        <v>0</v>
      </c>
      <c r="O39" s="156"/>
      <c r="Y39" s="68"/>
    </row>
    <row r="40" spans="1:25" x14ac:dyDescent="0.2">
      <c r="A40" s="220" t="s">
        <v>196</v>
      </c>
      <c r="B40" s="599">
        <v>3764</v>
      </c>
      <c r="D40" s="97">
        <v>3702</v>
      </c>
      <c r="E40" s="97">
        <v>3702</v>
      </c>
      <c r="G40" s="598">
        <f t="shared" si="1"/>
        <v>0</v>
      </c>
      <c r="H40" s="96">
        <f t="shared" si="2"/>
        <v>-62</v>
      </c>
      <c r="J40" s="599">
        <v>3595</v>
      </c>
      <c r="K40" s="599">
        <v>3595</v>
      </c>
      <c r="M40" s="598">
        <f t="shared" si="3"/>
        <v>0</v>
      </c>
      <c r="N40" s="221">
        <f t="shared" si="0"/>
        <v>-107</v>
      </c>
      <c r="O40" s="156"/>
      <c r="Y40" s="68"/>
    </row>
    <row r="41" spans="1:25" x14ac:dyDescent="0.2">
      <c r="A41" s="220" t="s">
        <v>197</v>
      </c>
      <c r="B41" s="599">
        <v>1950</v>
      </c>
      <c r="D41" s="97">
        <v>1920</v>
      </c>
      <c r="E41" s="97">
        <v>1920</v>
      </c>
      <c r="G41" s="598">
        <f t="shared" si="1"/>
        <v>0</v>
      </c>
      <c r="H41" s="96">
        <f t="shared" si="2"/>
        <v>-30</v>
      </c>
      <c r="J41" s="599">
        <v>1970</v>
      </c>
      <c r="K41" s="599">
        <v>1970</v>
      </c>
      <c r="M41" s="598">
        <f t="shared" si="3"/>
        <v>0</v>
      </c>
      <c r="N41" s="221">
        <f t="shared" si="0"/>
        <v>50</v>
      </c>
      <c r="O41" s="156"/>
      <c r="Y41" s="68"/>
    </row>
    <row r="42" spans="1:25" x14ac:dyDescent="0.2">
      <c r="A42" s="220" t="s">
        <v>199</v>
      </c>
      <c r="B42" s="599">
        <v>2934</v>
      </c>
      <c r="D42" s="97">
        <v>2816</v>
      </c>
      <c r="E42" s="97">
        <v>2816</v>
      </c>
      <c r="G42" s="598">
        <f t="shared" si="1"/>
        <v>0</v>
      </c>
      <c r="H42" s="96">
        <f t="shared" si="2"/>
        <v>-118</v>
      </c>
      <c r="J42" s="599">
        <v>2816</v>
      </c>
      <c r="K42" s="599">
        <v>2816</v>
      </c>
      <c r="M42" s="598">
        <f t="shared" si="3"/>
        <v>0</v>
      </c>
      <c r="N42" s="221">
        <f t="shared" si="0"/>
        <v>0</v>
      </c>
      <c r="O42" s="156"/>
      <c r="Y42" s="68"/>
    </row>
    <row r="43" spans="1:25" x14ac:dyDescent="0.2">
      <c r="A43" s="220" t="s">
        <v>200</v>
      </c>
      <c r="B43" s="599">
        <v>1700</v>
      </c>
      <c r="D43" s="97">
        <v>1620</v>
      </c>
      <c r="E43" s="97">
        <v>1620</v>
      </c>
      <c r="G43" s="598">
        <f t="shared" si="1"/>
        <v>0</v>
      </c>
      <c r="H43" s="96">
        <f t="shared" si="2"/>
        <v>-80</v>
      </c>
      <c r="J43" s="599">
        <v>1750</v>
      </c>
      <c r="K43" s="599">
        <v>1750</v>
      </c>
      <c r="M43" s="598">
        <f t="shared" si="3"/>
        <v>0</v>
      </c>
      <c r="N43" s="221">
        <f t="shared" si="0"/>
        <v>130</v>
      </c>
      <c r="O43" s="156"/>
      <c r="Y43" s="68"/>
    </row>
    <row r="44" spans="1:25" x14ac:dyDescent="0.2">
      <c r="A44" s="220" t="s">
        <v>201</v>
      </c>
      <c r="B44" s="599">
        <v>1862</v>
      </c>
      <c r="D44" s="97">
        <v>1966</v>
      </c>
      <c r="E44" s="97">
        <v>1966</v>
      </c>
      <c r="G44" s="598">
        <f t="shared" si="1"/>
        <v>0</v>
      </c>
      <c r="H44" s="96">
        <f t="shared" si="2"/>
        <v>104</v>
      </c>
      <c r="J44" s="599">
        <v>2020</v>
      </c>
      <c r="K44" s="599">
        <v>2020</v>
      </c>
      <c r="M44" s="598">
        <f t="shared" si="3"/>
        <v>0</v>
      </c>
      <c r="N44" s="221">
        <f t="shared" ref="N44:N72" si="4">K44-E44</f>
        <v>54</v>
      </c>
      <c r="O44" s="156"/>
      <c r="Y44" s="68"/>
    </row>
    <row r="45" spans="1:25" x14ac:dyDescent="0.2">
      <c r="A45" s="220" t="s">
        <v>442</v>
      </c>
      <c r="B45" s="599">
        <v>242</v>
      </c>
      <c r="D45" s="97">
        <v>275</v>
      </c>
      <c r="E45" s="97">
        <v>275</v>
      </c>
      <c r="G45" s="598">
        <f t="shared" si="1"/>
        <v>0</v>
      </c>
      <c r="H45" s="96">
        <f t="shared" si="2"/>
        <v>33</v>
      </c>
      <c r="J45" s="599">
        <v>276</v>
      </c>
      <c r="K45" s="599">
        <v>276</v>
      </c>
      <c r="M45" s="598">
        <f t="shared" si="3"/>
        <v>0</v>
      </c>
      <c r="N45" s="221">
        <f t="shared" si="4"/>
        <v>1</v>
      </c>
      <c r="O45" s="156"/>
      <c r="Y45" s="68"/>
    </row>
    <row r="46" spans="1:25" x14ac:dyDescent="0.2">
      <c r="A46" s="220" t="s">
        <v>202</v>
      </c>
      <c r="B46" s="599">
        <v>143</v>
      </c>
      <c r="D46" s="97">
        <v>150</v>
      </c>
      <c r="E46" s="97">
        <v>150</v>
      </c>
      <c r="G46" s="598">
        <f t="shared" si="1"/>
        <v>0</v>
      </c>
      <c r="H46" s="96">
        <f t="shared" si="2"/>
        <v>7</v>
      </c>
      <c r="J46" s="599">
        <v>160</v>
      </c>
      <c r="K46" s="599">
        <v>160</v>
      </c>
      <c r="M46" s="598">
        <f t="shared" si="3"/>
        <v>0</v>
      </c>
      <c r="N46" s="221">
        <f t="shared" si="4"/>
        <v>10</v>
      </c>
      <c r="O46" s="156"/>
      <c r="Y46" s="68"/>
    </row>
    <row r="47" spans="1:25" x14ac:dyDescent="0.2">
      <c r="A47" s="220" t="s">
        <v>203</v>
      </c>
      <c r="B47" s="599">
        <v>124</v>
      </c>
      <c r="D47" s="97">
        <v>124</v>
      </c>
      <c r="E47" s="97">
        <v>124</v>
      </c>
      <c r="G47" s="598">
        <f t="shared" si="1"/>
        <v>0</v>
      </c>
      <c r="H47" s="96">
        <f t="shared" si="2"/>
        <v>0</v>
      </c>
      <c r="J47" s="599">
        <v>85</v>
      </c>
      <c r="K47" s="599">
        <v>85</v>
      </c>
      <c r="M47" s="598">
        <f t="shared" si="3"/>
        <v>0</v>
      </c>
      <c r="N47" s="221">
        <f t="shared" si="4"/>
        <v>-39</v>
      </c>
      <c r="O47" s="156"/>
      <c r="Y47" s="68"/>
    </row>
    <row r="48" spans="1:25" x14ac:dyDescent="0.2">
      <c r="A48" s="220" t="s">
        <v>204</v>
      </c>
      <c r="B48" s="599">
        <v>3654</v>
      </c>
      <c r="D48" s="97">
        <v>3530</v>
      </c>
      <c r="E48" s="97">
        <v>3530</v>
      </c>
      <c r="G48" s="598">
        <f t="shared" si="1"/>
        <v>0</v>
      </c>
      <c r="H48" s="96">
        <f t="shared" si="2"/>
        <v>-124</v>
      </c>
      <c r="J48" s="599">
        <v>3600</v>
      </c>
      <c r="K48" s="599">
        <v>3600</v>
      </c>
      <c r="M48" s="598">
        <f t="shared" si="3"/>
        <v>0</v>
      </c>
      <c r="N48" s="221">
        <f t="shared" si="4"/>
        <v>70</v>
      </c>
      <c r="O48" s="156"/>
      <c r="Y48" s="68"/>
    </row>
    <row r="49" spans="1:25" x14ac:dyDescent="0.2">
      <c r="A49" s="220" t="s">
        <v>259</v>
      </c>
      <c r="B49" s="599">
        <v>279</v>
      </c>
      <c r="D49" s="97">
        <v>274</v>
      </c>
      <c r="E49" s="97">
        <v>277</v>
      </c>
      <c r="G49" s="598">
        <f t="shared" si="1"/>
        <v>3</v>
      </c>
      <c r="H49" s="96">
        <f t="shared" si="2"/>
        <v>-2</v>
      </c>
      <c r="J49" s="599">
        <v>285</v>
      </c>
      <c r="K49" s="599">
        <v>286</v>
      </c>
      <c r="M49" s="598">
        <f t="shared" si="3"/>
        <v>1</v>
      </c>
      <c r="N49" s="221">
        <f t="shared" si="4"/>
        <v>9</v>
      </c>
      <c r="O49" s="156"/>
      <c r="Y49" s="68"/>
    </row>
    <row r="50" spans="1:25" x14ac:dyDescent="0.2">
      <c r="A50" s="220" t="s">
        <v>205</v>
      </c>
      <c r="B50" s="599">
        <v>5355</v>
      </c>
      <c r="D50" s="97">
        <v>5607</v>
      </c>
      <c r="E50" s="97">
        <v>5607</v>
      </c>
      <c r="G50" s="598">
        <f t="shared" si="1"/>
        <v>0</v>
      </c>
      <c r="H50" s="96">
        <f t="shared" si="2"/>
        <v>252</v>
      </c>
      <c r="J50" s="599">
        <v>5229</v>
      </c>
      <c r="K50" s="599">
        <v>5229</v>
      </c>
      <c r="M50" s="598">
        <f t="shared" si="3"/>
        <v>0</v>
      </c>
      <c r="N50" s="221">
        <f t="shared" si="4"/>
        <v>-378</v>
      </c>
      <c r="O50" s="156"/>
      <c r="Y50" s="68"/>
    </row>
    <row r="51" spans="1:25" x14ac:dyDescent="0.2">
      <c r="A51" s="220" t="s">
        <v>206</v>
      </c>
      <c r="B51" s="599">
        <v>7322</v>
      </c>
      <c r="D51" s="97">
        <v>9869</v>
      </c>
      <c r="E51" s="97">
        <v>9869</v>
      </c>
      <c r="G51" s="598">
        <f t="shared" si="1"/>
        <v>0</v>
      </c>
      <c r="H51" s="96">
        <f t="shared" si="2"/>
        <v>2547</v>
      </c>
      <c r="J51" s="599">
        <v>10000</v>
      </c>
      <c r="K51" s="599">
        <v>10000</v>
      </c>
      <c r="M51" s="598">
        <f t="shared" si="3"/>
        <v>0</v>
      </c>
      <c r="N51" s="221">
        <f t="shared" si="4"/>
        <v>131</v>
      </c>
      <c r="O51" s="156"/>
      <c r="Y51" s="68"/>
    </row>
    <row r="52" spans="1:25" x14ac:dyDescent="0.2">
      <c r="A52" s="220" t="s">
        <v>260</v>
      </c>
      <c r="B52" s="599">
        <v>257</v>
      </c>
      <c r="D52" s="97">
        <v>241</v>
      </c>
      <c r="E52" s="97">
        <v>241</v>
      </c>
      <c r="G52" s="598">
        <f t="shared" si="1"/>
        <v>0</v>
      </c>
      <c r="H52" s="96">
        <f t="shared" si="2"/>
        <v>-16</v>
      </c>
      <c r="J52" s="599">
        <v>245</v>
      </c>
      <c r="K52" s="599">
        <v>245</v>
      </c>
      <c r="M52" s="598">
        <f t="shared" si="3"/>
        <v>0</v>
      </c>
      <c r="N52" s="221">
        <f t="shared" si="4"/>
        <v>4</v>
      </c>
      <c r="O52" s="156"/>
      <c r="Y52" s="68"/>
    </row>
    <row r="53" spans="1:25" x14ac:dyDescent="0.2">
      <c r="A53" s="220" t="s">
        <v>207</v>
      </c>
      <c r="B53" s="599">
        <v>850</v>
      </c>
      <c r="D53" s="97">
        <v>860</v>
      </c>
      <c r="E53" s="97">
        <v>860</v>
      </c>
      <c r="G53" s="598">
        <f t="shared" si="1"/>
        <v>0</v>
      </c>
      <c r="H53" s="96">
        <f t="shared" si="2"/>
        <v>10</v>
      </c>
      <c r="J53" s="599">
        <v>900</v>
      </c>
      <c r="K53" s="599">
        <v>900</v>
      </c>
      <c r="M53" s="598">
        <f t="shared" si="3"/>
        <v>0</v>
      </c>
      <c r="N53" s="221">
        <f t="shared" si="4"/>
        <v>40</v>
      </c>
      <c r="O53" s="156"/>
      <c r="Y53" s="68"/>
    </row>
    <row r="54" spans="1:25" x14ac:dyDescent="0.2">
      <c r="A54" s="220" t="s">
        <v>208</v>
      </c>
      <c r="B54" s="599">
        <v>2400</v>
      </c>
      <c r="D54" s="97">
        <v>2500</v>
      </c>
      <c r="E54" s="97">
        <v>2500</v>
      </c>
      <c r="G54" s="598">
        <f t="shared" si="1"/>
        <v>0</v>
      </c>
      <c r="H54" s="96">
        <f t="shared" si="2"/>
        <v>100</v>
      </c>
      <c r="J54" s="599">
        <v>2550</v>
      </c>
      <c r="K54" s="599">
        <v>2550</v>
      </c>
      <c r="M54" s="598">
        <f t="shared" si="3"/>
        <v>0</v>
      </c>
      <c r="N54" s="221">
        <f t="shared" si="4"/>
        <v>50</v>
      </c>
      <c r="O54" s="156"/>
      <c r="Y54" s="68"/>
    </row>
    <row r="55" spans="1:25" x14ac:dyDescent="0.2">
      <c r="A55" s="220" t="s">
        <v>209</v>
      </c>
      <c r="B55" s="599">
        <v>12625</v>
      </c>
      <c r="D55" s="97">
        <v>12325</v>
      </c>
      <c r="E55" s="97">
        <v>12325</v>
      </c>
      <c r="G55" s="598">
        <f t="shared" si="1"/>
        <v>0</v>
      </c>
      <c r="H55" s="96">
        <f t="shared" si="2"/>
        <v>-300</v>
      </c>
      <c r="J55" s="599">
        <v>12700</v>
      </c>
      <c r="K55" s="599">
        <v>12300</v>
      </c>
      <c r="M55" s="598">
        <f t="shared" si="3"/>
        <v>-400</v>
      </c>
      <c r="N55" s="221">
        <f t="shared" si="4"/>
        <v>-25</v>
      </c>
      <c r="O55" s="156"/>
      <c r="Y55" s="68"/>
    </row>
    <row r="56" spans="1:25" x14ac:dyDescent="0.2">
      <c r="A56" s="220" t="s">
        <v>210</v>
      </c>
      <c r="B56" s="599">
        <v>596</v>
      </c>
      <c r="D56" s="97">
        <v>690</v>
      </c>
      <c r="E56" s="97">
        <v>690</v>
      </c>
      <c r="G56" s="598">
        <f t="shared" si="1"/>
        <v>0</v>
      </c>
      <c r="H56" s="96">
        <f t="shared" si="2"/>
        <v>94</v>
      </c>
      <c r="J56" s="599">
        <v>770</v>
      </c>
      <c r="K56" s="599">
        <v>770</v>
      </c>
      <c r="M56" s="598">
        <f t="shared" si="3"/>
        <v>0</v>
      </c>
      <c r="N56" s="221">
        <f t="shared" si="4"/>
        <v>80</v>
      </c>
      <c r="O56" s="156"/>
      <c r="Y56" s="68"/>
    </row>
    <row r="57" spans="1:25" x14ac:dyDescent="0.2">
      <c r="A57" s="220" t="s">
        <v>228</v>
      </c>
      <c r="B57" s="599">
        <v>959</v>
      </c>
      <c r="D57" s="97">
        <v>1034</v>
      </c>
      <c r="E57" s="97">
        <v>1034</v>
      </c>
      <c r="G57" s="598">
        <f t="shared" si="1"/>
        <v>0</v>
      </c>
      <c r="H57" s="96">
        <f t="shared" si="2"/>
        <v>75</v>
      </c>
      <c r="J57" s="599">
        <v>1020</v>
      </c>
      <c r="K57" s="599">
        <v>1020</v>
      </c>
      <c r="M57" s="598">
        <f t="shared" si="3"/>
        <v>0</v>
      </c>
      <c r="N57" s="221">
        <f t="shared" si="4"/>
        <v>-14</v>
      </c>
      <c r="O57" s="156"/>
      <c r="Y57" s="68"/>
    </row>
    <row r="58" spans="1:25" x14ac:dyDescent="0.2">
      <c r="A58" s="220" t="s">
        <v>211</v>
      </c>
      <c r="B58" s="599">
        <v>880</v>
      </c>
      <c r="D58" s="97">
        <v>881</v>
      </c>
      <c r="E58" s="97">
        <v>881</v>
      </c>
      <c r="G58" s="598">
        <f t="shared" si="1"/>
        <v>0</v>
      </c>
      <c r="H58" s="96">
        <f t="shared" si="2"/>
        <v>1</v>
      </c>
      <c r="J58" s="599">
        <v>975</v>
      </c>
      <c r="K58" s="599">
        <v>975</v>
      </c>
      <c r="M58" s="598">
        <f t="shared" si="3"/>
        <v>0</v>
      </c>
      <c r="N58" s="221">
        <f t="shared" si="4"/>
        <v>94</v>
      </c>
      <c r="O58" s="156"/>
      <c r="Y58" s="68"/>
    </row>
    <row r="59" spans="1:25" x14ac:dyDescent="0.2">
      <c r="A59" s="220" t="s">
        <v>212</v>
      </c>
      <c r="B59" s="599">
        <v>2828</v>
      </c>
      <c r="D59" s="97">
        <v>3332</v>
      </c>
      <c r="E59" s="97">
        <v>3332</v>
      </c>
      <c r="G59" s="598">
        <f t="shared" si="1"/>
        <v>0</v>
      </c>
      <c r="H59" s="96">
        <f t="shared" si="2"/>
        <v>504</v>
      </c>
      <c r="J59" s="599">
        <v>3500</v>
      </c>
      <c r="K59" s="599">
        <v>3500</v>
      </c>
      <c r="M59" s="598">
        <f t="shared" si="3"/>
        <v>0</v>
      </c>
      <c r="N59" s="221">
        <f t="shared" si="4"/>
        <v>168</v>
      </c>
      <c r="O59" s="156"/>
      <c r="Y59" s="68"/>
    </row>
    <row r="60" spans="1:25" x14ac:dyDescent="0.2">
      <c r="A60" s="220" t="s">
        <v>273</v>
      </c>
      <c r="B60" s="599">
        <v>170</v>
      </c>
      <c r="D60" s="97">
        <v>168</v>
      </c>
      <c r="E60" s="97">
        <v>168</v>
      </c>
      <c r="G60" s="598">
        <f t="shared" si="1"/>
        <v>0</v>
      </c>
      <c r="H60" s="96">
        <f t="shared" si="2"/>
        <v>-2</v>
      </c>
      <c r="J60" s="599">
        <v>170</v>
      </c>
      <c r="K60" s="599">
        <v>170</v>
      </c>
      <c r="M60" s="598">
        <f t="shared" si="3"/>
        <v>0</v>
      </c>
      <c r="N60" s="221">
        <f t="shared" si="4"/>
        <v>2</v>
      </c>
      <c r="O60" s="156"/>
      <c r="Y60" s="68"/>
    </row>
    <row r="61" spans="1:25" x14ac:dyDescent="0.2">
      <c r="A61" s="220" t="s">
        <v>213</v>
      </c>
      <c r="B61" s="599">
        <v>1103</v>
      </c>
      <c r="D61" s="97">
        <v>1023</v>
      </c>
      <c r="E61" s="97">
        <v>1023</v>
      </c>
      <c r="G61" s="598">
        <f t="shared" si="1"/>
        <v>0</v>
      </c>
      <c r="H61" s="96">
        <f t="shared" si="2"/>
        <v>-80</v>
      </c>
      <c r="J61" s="599">
        <v>1100</v>
      </c>
      <c r="K61" s="599">
        <v>1100</v>
      </c>
      <c r="M61" s="598">
        <f t="shared" si="3"/>
        <v>0</v>
      </c>
      <c r="N61" s="221">
        <f t="shared" si="4"/>
        <v>77</v>
      </c>
      <c r="O61" s="156"/>
      <c r="Y61" s="68"/>
    </row>
    <row r="62" spans="1:25" x14ac:dyDescent="0.2">
      <c r="A62" s="220" t="s">
        <v>214</v>
      </c>
      <c r="B62" s="599">
        <v>2200</v>
      </c>
      <c r="D62" s="97">
        <v>2450</v>
      </c>
      <c r="E62" s="97">
        <v>2450</v>
      </c>
      <c r="G62" s="598">
        <f t="shared" si="1"/>
        <v>0</v>
      </c>
      <c r="H62" s="96">
        <f t="shared" si="2"/>
        <v>250</v>
      </c>
      <c r="J62" s="599">
        <v>2515</v>
      </c>
      <c r="K62" s="599">
        <v>2515</v>
      </c>
      <c r="M62" s="598">
        <f t="shared" si="3"/>
        <v>0</v>
      </c>
      <c r="N62" s="221">
        <f t="shared" si="4"/>
        <v>65</v>
      </c>
      <c r="O62" s="156"/>
      <c r="Y62" s="68"/>
    </row>
    <row r="63" spans="1:25" x14ac:dyDescent="0.2">
      <c r="A63" s="220" t="s">
        <v>215</v>
      </c>
      <c r="B63" s="599">
        <v>20909</v>
      </c>
      <c r="D63" s="97">
        <v>20000</v>
      </c>
      <c r="E63" s="97">
        <v>20000</v>
      </c>
      <c r="G63" s="598">
        <f t="shared" si="1"/>
        <v>0</v>
      </c>
      <c r="H63" s="96">
        <f t="shared" si="2"/>
        <v>-909</v>
      </c>
      <c r="J63" s="599">
        <v>20100</v>
      </c>
      <c r="K63" s="599">
        <v>20100</v>
      </c>
      <c r="M63" s="598">
        <f t="shared" si="3"/>
        <v>0</v>
      </c>
      <c r="N63" s="221">
        <f t="shared" si="4"/>
        <v>100</v>
      </c>
      <c r="O63" s="156"/>
      <c r="Y63" s="68"/>
    </row>
    <row r="64" spans="1:25" x14ac:dyDescent="0.2">
      <c r="A64" s="220" t="s">
        <v>216</v>
      </c>
      <c r="B64" s="599">
        <v>600</v>
      </c>
      <c r="D64" s="97">
        <v>545</v>
      </c>
      <c r="E64" s="97">
        <v>545</v>
      </c>
      <c r="G64" s="598">
        <f t="shared" si="1"/>
        <v>0</v>
      </c>
      <c r="H64" s="96">
        <f t="shared" si="2"/>
        <v>-55</v>
      </c>
      <c r="J64" s="599">
        <v>544</v>
      </c>
      <c r="K64" s="599">
        <v>544</v>
      </c>
      <c r="M64" s="598">
        <f t="shared" si="3"/>
        <v>0</v>
      </c>
      <c r="N64" s="221">
        <f t="shared" si="4"/>
        <v>-1</v>
      </c>
      <c r="O64" s="156"/>
      <c r="Y64" s="68"/>
    </row>
    <row r="65" spans="1:25" x14ac:dyDescent="0.2">
      <c r="A65" s="220" t="s">
        <v>217</v>
      </c>
      <c r="B65" s="599">
        <v>165</v>
      </c>
      <c r="D65" s="97">
        <v>169</v>
      </c>
      <c r="E65" s="97">
        <v>169</v>
      </c>
      <c r="G65" s="598">
        <f t="shared" si="1"/>
        <v>0</v>
      </c>
      <c r="H65" s="96">
        <f t="shared" si="2"/>
        <v>4</v>
      </c>
      <c r="J65" s="599">
        <v>169</v>
      </c>
      <c r="K65" s="599">
        <v>169</v>
      </c>
      <c r="M65" s="598">
        <f t="shared" si="3"/>
        <v>0</v>
      </c>
      <c r="N65" s="221">
        <f t="shared" si="4"/>
        <v>0</v>
      </c>
      <c r="O65" s="156"/>
      <c r="Y65" s="68"/>
    </row>
    <row r="66" spans="1:25" x14ac:dyDescent="0.2">
      <c r="A66" s="220" t="s">
        <v>218</v>
      </c>
      <c r="B66" s="599">
        <v>5082</v>
      </c>
      <c r="D66" s="141">
        <v>6931</v>
      </c>
      <c r="E66" s="141">
        <v>6931</v>
      </c>
      <c r="G66" s="600">
        <f t="shared" si="1"/>
        <v>0</v>
      </c>
      <c r="H66" s="96">
        <f t="shared" si="2"/>
        <v>1849</v>
      </c>
      <c r="J66" s="647">
        <v>6977</v>
      </c>
      <c r="K66" s="647">
        <v>6979</v>
      </c>
      <c r="M66" s="598">
        <f t="shared" si="3"/>
        <v>2</v>
      </c>
      <c r="N66" s="221">
        <f t="shared" si="4"/>
        <v>48</v>
      </c>
      <c r="O66" s="156"/>
      <c r="Y66" s="68"/>
    </row>
    <row r="67" spans="1:25" x14ac:dyDescent="0.2">
      <c r="A67" s="220" t="s">
        <v>219</v>
      </c>
      <c r="B67" s="599">
        <v>965</v>
      </c>
      <c r="D67" s="599">
        <v>900</v>
      </c>
      <c r="E67" s="599">
        <v>900</v>
      </c>
      <c r="G67" s="598">
        <f t="shared" si="1"/>
        <v>0</v>
      </c>
      <c r="H67" s="96">
        <f t="shared" si="2"/>
        <v>-65</v>
      </c>
      <c r="J67" s="599">
        <v>1050</v>
      </c>
      <c r="K67" s="599">
        <v>1050</v>
      </c>
      <c r="M67" s="598">
        <f t="shared" si="3"/>
        <v>0</v>
      </c>
      <c r="N67" s="221">
        <f t="shared" si="4"/>
        <v>150</v>
      </c>
      <c r="O67" s="156"/>
      <c r="Y67" s="68"/>
    </row>
    <row r="68" spans="1:25" x14ac:dyDescent="0.2">
      <c r="A68" s="220" t="s">
        <v>274</v>
      </c>
      <c r="B68" s="599">
        <v>234</v>
      </c>
      <c r="D68" s="97">
        <v>230</v>
      </c>
      <c r="E68" s="97">
        <v>230</v>
      </c>
      <c r="G68" s="598">
        <f t="shared" si="1"/>
        <v>0</v>
      </c>
      <c r="H68" s="96">
        <f t="shared" si="2"/>
        <v>-4</v>
      </c>
      <c r="J68" s="599">
        <v>230</v>
      </c>
      <c r="K68" s="599">
        <v>230</v>
      </c>
      <c r="M68" s="598">
        <f t="shared" si="3"/>
        <v>0</v>
      </c>
      <c r="N68" s="221">
        <f t="shared" si="4"/>
        <v>0</v>
      </c>
      <c r="O68" s="156"/>
      <c r="Y68" s="68"/>
    </row>
    <row r="69" spans="1:25" x14ac:dyDescent="0.2">
      <c r="A69" s="220" t="s">
        <v>220</v>
      </c>
      <c r="B69" s="599">
        <v>257</v>
      </c>
      <c r="D69" s="97">
        <v>292</v>
      </c>
      <c r="E69" s="97">
        <v>309</v>
      </c>
      <c r="G69" s="598">
        <f t="shared" si="1"/>
        <v>17</v>
      </c>
      <c r="H69" s="96">
        <f t="shared" si="2"/>
        <v>52</v>
      </c>
      <c r="J69" s="599">
        <v>300</v>
      </c>
      <c r="K69" s="599">
        <v>330</v>
      </c>
      <c r="M69" s="598">
        <f t="shared" si="3"/>
        <v>30</v>
      </c>
      <c r="N69" s="221">
        <f t="shared" si="4"/>
        <v>21</v>
      </c>
      <c r="O69" s="156"/>
      <c r="Y69" s="68"/>
    </row>
    <row r="70" spans="1:25" x14ac:dyDescent="0.2">
      <c r="A70" s="220" t="s">
        <v>221</v>
      </c>
      <c r="B70" s="599">
        <v>27140</v>
      </c>
      <c r="D70" s="97">
        <v>26625</v>
      </c>
      <c r="E70" s="97">
        <v>26625</v>
      </c>
      <c r="G70" s="598">
        <f t="shared" si="1"/>
        <v>0</v>
      </c>
      <c r="H70" s="96">
        <f t="shared" si="2"/>
        <v>-515</v>
      </c>
      <c r="J70" s="599">
        <v>26500</v>
      </c>
      <c r="K70" s="599">
        <v>26500</v>
      </c>
      <c r="M70" s="598">
        <f t="shared" si="3"/>
        <v>0</v>
      </c>
      <c r="N70" s="221">
        <f t="shared" si="4"/>
        <v>-125</v>
      </c>
      <c r="O70" s="156"/>
      <c r="Y70" s="68"/>
    </row>
    <row r="71" spans="1:25" x14ac:dyDescent="0.2">
      <c r="A71" s="220" t="s">
        <v>222</v>
      </c>
      <c r="B71" s="648">
        <f>SUM(B7:B70)</f>
        <v>514671</v>
      </c>
      <c r="C71" s="134"/>
      <c r="D71" s="134">
        <f>SUM(D7:D70)</f>
        <v>519213</v>
      </c>
      <c r="E71" s="134">
        <f>SUM(E7:E70)</f>
        <v>520082</v>
      </c>
      <c r="G71" s="598">
        <f t="shared" si="1"/>
        <v>869</v>
      </c>
      <c r="H71" s="96">
        <f t="shared" si="2"/>
        <v>5411</v>
      </c>
      <c r="J71" s="648">
        <f>SUM(J7:J70)</f>
        <v>525853</v>
      </c>
      <c r="K71" s="648">
        <f>SUM(K7:K70)</f>
        <v>528976</v>
      </c>
      <c r="M71" s="598">
        <f t="shared" si="3"/>
        <v>3123</v>
      </c>
      <c r="N71" s="221">
        <f t="shared" si="4"/>
        <v>8894</v>
      </c>
      <c r="O71" s="156"/>
      <c r="Y71" s="68"/>
    </row>
    <row r="72" spans="1:25" x14ac:dyDescent="0.2">
      <c r="A72" s="220" t="s">
        <v>223</v>
      </c>
      <c r="B72" s="649">
        <f>B74-B71</f>
        <v>1351</v>
      </c>
      <c r="C72" s="138"/>
      <c r="D72" s="138">
        <f>D74-D71</f>
        <v>1435</v>
      </c>
      <c r="E72" s="138">
        <f>E74-E71</f>
        <v>1435</v>
      </c>
      <c r="F72" s="222"/>
      <c r="G72" s="598">
        <f t="shared" si="1"/>
        <v>0</v>
      </c>
      <c r="H72" s="96">
        <f>E72-B72</f>
        <v>84</v>
      </c>
      <c r="I72" s="222"/>
      <c r="J72" s="649">
        <f>J74-J71</f>
        <v>1459</v>
      </c>
      <c r="K72" s="649">
        <f>K74-K71</f>
        <v>1459</v>
      </c>
      <c r="L72" s="222"/>
      <c r="M72" s="598">
        <f t="shared" si="3"/>
        <v>0</v>
      </c>
      <c r="N72" s="223">
        <f t="shared" si="4"/>
        <v>24</v>
      </c>
      <c r="Y72" s="68"/>
    </row>
    <row r="73" spans="1:25" ht="12" customHeight="1" x14ac:dyDescent="0.2">
      <c r="A73" s="220"/>
      <c r="G73" s="598"/>
      <c r="M73" s="598"/>
      <c r="N73" s="221"/>
      <c r="Y73" s="68"/>
    </row>
    <row r="74" spans="1:25" x14ac:dyDescent="0.2">
      <c r="A74" s="220" t="s">
        <v>224</v>
      </c>
      <c r="B74" s="601">
        <v>516022</v>
      </c>
      <c r="D74" s="100">
        <v>520648</v>
      </c>
      <c r="E74" s="100">
        <v>521517</v>
      </c>
      <c r="G74" s="600">
        <f>E74-D74</f>
        <v>869</v>
      </c>
      <c r="H74" s="96">
        <f>E74-B74</f>
        <v>5495</v>
      </c>
      <c r="J74" s="601">
        <f>527344-32</f>
        <v>527312</v>
      </c>
      <c r="K74" s="601">
        <v>530435</v>
      </c>
      <c r="M74" s="598">
        <f t="shared" ref="M74" si="5">K74-J74</f>
        <v>3123</v>
      </c>
      <c r="N74" s="221">
        <f>K74-E74</f>
        <v>8918</v>
      </c>
      <c r="O74" s="99"/>
      <c r="Y74" s="68"/>
    </row>
    <row r="75" spans="1:25" ht="12" thickBot="1" x14ac:dyDescent="0.25">
      <c r="A75" s="224"/>
      <c r="B75" s="603"/>
      <c r="C75" s="225"/>
      <c r="D75" s="225"/>
      <c r="E75" s="225"/>
      <c r="F75" s="225"/>
      <c r="G75" s="603"/>
      <c r="H75" s="225"/>
      <c r="I75" s="225"/>
      <c r="J75" s="603"/>
      <c r="K75" s="603"/>
      <c r="L75" s="225"/>
      <c r="M75" s="225"/>
      <c r="N75" s="226"/>
      <c r="Y75" s="68"/>
    </row>
    <row r="76" spans="1:25" x14ac:dyDescent="0.2">
      <c r="A76" s="115" t="s">
        <v>455</v>
      </c>
      <c r="Y76" s="68"/>
    </row>
    <row r="77" spans="1:25" x14ac:dyDescent="0.2">
      <c r="A77" s="115" t="s">
        <v>321</v>
      </c>
      <c r="Y77" s="68"/>
    </row>
    <row r="78" spans="1:25" x14ac:dyDescent="0.2">
      <c r="A78" s="6" t="s">
        <v>477</v>
      </c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8" spans="16:31" x14ac:dyDescent="0.2">
      <c r="Y88" s="68"/>
    </row>
    <row r="89" spans="16:31" x14ac:dyDescent="0.2">
      <c r="Y89" s="75"/>
      <c r="AA89" s="75"/>
      <c r="AB89" s="75"/>
    </row>
    <row r="90" spans="16:31" ht="11.1" customHeight="1" x14ac:dyDescent="0.2">
      <c r="Y90" s="75"/>
      <c r="AA90" s="75"/>
      <c r="AB90" s="75"/>
      <c r="AC90" s="75"/>
      <c r="AD90" s="75"/>
      <c r="AE90" s="75"/>
    </row>
    <row r="91" spans="16:31" ht="11.1" customHeight="1" x14ac:dyDescent="0.2">
      <c r="Y91" s="68"/>
    </row>
    <row r="92" spans="16:31" ht="11.1" customHeight="1" x14ac:dyDescent="0.2"/>
    <row r="93" spans="16:31" ht="11.1" customHeight="1" x14ac:dyDescent="0.2">
      <c r="Y93" s="68"/>
    </row>
    <row r="94" spans="16:31" x14ac:dyDescent="0.2">
      <c r="P94" s="82"/>
      <c r="Y94" s="68"/>
    </row>
    <row r="95" spans="16:31" x14ac:dyDescent="0.2">
      <c r="Y95" s="68"/>
    </row>
    <row r="96" spans="16:31" x14ac:dyDescent="0.2">
      <c r="Y96" s="68"/>
    </row>
    <row r="98" spans="15:25" x14ac:dyDescent="0.2">
      <c r="Y98" s="68"/>
    </row>
    <row r="108" spans="15:25" x14ac:dyDescent="0.2">
      <c r="O108" s="82"/>
      <c r="P108" s="82"/>
      <c r="Q108" s="82"/>
      <c r="R108" s="82"/>
      <c r="S108" s="82"/>
      <c r="T108" s="82"/>
      <c r="U108" s="82"/>
      <c r="V108" s="82"/>
      <c r="W108" s="82"/>
      <c r="X108" s="82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58" spans="16:16" x14ac:dyDescent="0.2">
      <c r="P158" s="82"/>
    </row>
    <row r="164" spans="15:24" x14ac:dyDescent="0.2">
      <c r="O164" s="82"/>
      <c r="P164" s="82"/>
      <c r="Q164" s="82"/>
      <c r="R164" s="82"/>
      <c r="S164" s="82"/>
      <c r="T164" s="82"/>
      <c r="U164" s="82"/>
      <c r="V164" s="82"/>
      <c r="W164" s="82"/>
      <c r="X164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ColWidth="8.88671875" defaultRowHeight="12" x14ac:dyDescent="0.2"/>
  <cols>
    <col min="1" max="1" width="19.33203125" style="104" customWidth="1"/>
    <col min="2" max="2" width="9.33203125" style="106" customWidth="1"/>
    <col min="3" max="3" width="1.21875" style="108" customWidth="1"/>
    <col min="4" max="5" width="9.33203125" style="106" customWidth="1"/>
    <col min="6" max="6" width="1.77734375" style="105" customWidth="1"/>
    <col min="7" max="7" width="8.6640625" style="604" customWidth="1"/>
    <col min="8" max="8" width="8.109375" style="104" customWidth="1"/>
    <col min="9" max="9" width="2" style="107" customWidth="1"/>
    <col min="10" max="11" width="9.33203125" style="106" customWidth="1"/>
    <col min="12" max="12" width="1.77734375" style="105" customWidth="1"/>
    <col min="13" max="13" width="8.6640625" style="712" customWidth="1"/>
    <col min="14" max="14" width="8.109375" style="104" customWidth="1"/>
    <col min="15" max="15" width="8.6640625" style="103" customWidth="1"/>
    <col min="16" max="16384" width="8.88671875" style="102"/>
  </cols>
  <sheetData>
    <row r="1" spans="1:15" ht="12.75" customHeight="1" x14ac:dyDescent="0.2">
      <c r="A1" s="208" t="s">
        <v>344</v>
      </c>
      <c r="B1" s="227"/>
      <c r="C1" s="228"/>
      <c r="D1" s="227"/>
      <c r="E1" s="227"/>
      <c r="F1" s="227"/>
      <c r="G1" s="592"/>
      <c r="H1" s="209"/>
      <c r="I1" s="209"/>
      <c r="J1" s="227"/>
      <c r="K1" s="227"/>
      <c r="L1" s="227"/>
      <c r="M1" s="605"/>
      <c r="N1" s="211"/>
    </row>
    <row r="2" spans="1:15" ht="12.75" customHeight="1" x14ac:dyDescent="0.2">
      <c r="A2" s="212"/>
      <c r="B2" s="184"/>
      <c r="C2" s="121"/>
      <c r="D2" s="122"/>
      <c r="E2" s="122"/>
      <c r="F2" s="92" t="s">
        <v>375</v>
      </c>
      <c r="G2" s="593"/>
      <c r="H2" s="93"/>
      <c r="I2" s="120"/>
      <c r="J2" s="122"/>
      <c r="K2" s="122"/>
      <c r="L2" s="92" t="s">
        <v>445</v>
      </c>
      <c r="M2" s="610"/>
      <c r="N2" s="213"/>
    </row>
    <row r="3" spans="1:15" ht="12.75" customHeight="1" x14ac:dyDescent="0.2">
      <c r="A3" s="212"/>
      <c r="B3" s="181"/>
      <c r="C3" s="119"/>
      <c r="D3" s="181" t="str">
        <f>J3</f>
        <v>September</v>
      </c>
      <c r="E3" s="181" t="str">
        <f>K3</f>
        <v>October</v>
      </c>
      <c r="F3" s="181"/>
      <c r="G3" s="594" t="s">
        <v>169</v>
      </c>
      <c r="H3" s="214" t="s">
        <v>170</v>
      </c>
      <c r="I3" s="119"/>
      <c r="J3" s="181" t="s">
        <v>48</v>
      </c>
      <c r="K3" s="181" t="s">
        <v>49</v>
      </c>
      <c r="L3" s="181"/>
      <c r="M3" s="615" t="s">
        <v>169</v>
      </c>
      <c r="N3" s="215" t="s">
        <v>170</v>
      </c>
    </row>
    <row r="4" spans="1:15" ht="12.75" customHeight="1" x14ac:dyDescent="0.2">
      <c r="A4" s="216" t="s">
        <v>454</v>
      </c>
      <c r="B4" s="180">
        <v>2023</v>
      </c>
      <c r="C4" s="182"/>
      <c r="D4" s="180">
        <v>2024</v>
      </c>
      <c r="E4" s="180">
        <v>2024</v>
      </c>
      <c r="F4" s="180"/>
      <c r="G4" s="595" t="s">
        <v>171</v>
      </c>
      <c r="H4" s="94" t="s">
        <v>172</v>
      </c>
      <c r="I4" s="94"/>
      <c r="J4" s="180">
        <v>2024</v>
      </c>
      <c r="K4" s="180">
        <v>2024</v>
      </c>
      <c r="L4" s="180"/>
      <c r="M4" s="644" t="s">
        <v>171</v>
      </c>
      <c r="N4" s="217" t="s">
        <v>172</v>
      </c>
    </row>
    <row r="5" spans="1:15" ht="12.75" customHeight="1" x14ac:dyDescent="0.2">
      <c r="A5" s="218"/>
      <c r="F5" s="118"/>
      <c r="G5" s="596" t="s">
        <v>376</v>
      </c>
      <c r="H5" s="67"/>
      <c r="I5" s="117"/>
      <c r="L5" s="118"/>
      <c r="M5" s="96"/>
      <c r="N5" s="219"/>
    </row>
    <row r="6" spans="1:15" ht="12.75" customHeight="1" x14ac:dyDescent="0.2">
      <c r="A6" s="229"/>
      <c r="G6" s="597"/>
      <c r="H6" s="67"/>
      <c r="I6" s="117"/>
      <c r="M6" s="96"/>
      <c r="N6" s="219"/>
    </row>
    <row r="7" spans="1:15" ht="12.75" customHeight="1" x14ac:dyDescent="0.2">
      <c r="A7" s="220" t="s">
        <v>174</v>
      </c>
      <c r="B7" s="143">
        <v>293</v>
      </c>
      <c r="D7" s="143">
        <v>300</v>
      </c>
      <c r="E7" s="143">
        <v>300</v>
      </c>
      <c r="F7" s="95"/>
      <c r="G7" s="598">
        <f>E7-D7</f>
        <v>0</v>
      </c>
      <c r="H7" s="96">
        <f>E7-B7</f>
        <v>7</v>
      </c>
      <c r="I7" s="100"/>
      <c r="J7" s="143">
        <v>425</v>
      </c>
      <c r="K7" s="143">
        <v>425</v>
      </c>
      <c r="L7" s="95"/>
      <c r="M7" s="621">
        <f>K7-J7</f>
        <v>0</v>
      </c>
      <c r="N7" s="221">
        <f t="shared" ref="N7:N48" si="0">K7-E7</f>
        <v>125</v>
      </c>
    </row>
    <row r="8" spans="1:15" s="116" customFormat="1" ht="12.75" customHeight="1" x14ac:dyDescent="0.2">
      <c r="A8" s="230" t="s">
        <v>175</v>
      </c>
      <c r="B8" s="143">
        <v>248</v>
      </c>
      <c r="C8" s="107"/>
      <c r="D8" s="143">
        <v>260</v>
      </c>
      <c r="E8" s="143">
        <v>260</v>
      </c>
      <c r="F8" s="95"/>
      <c r="G8" s="598">
        <f t="shared" ref="G8:G48" si="1">E8-D8</f>
        <v>0</v>
      </c>
      <c r="H8" s="96">
        <f t="shared" ref="H8:H50" si="2">E8-B8</f>
        <v>12</v>
      </c>
      <c r="I8" s="100"/>
      <c r="J8" s="143">
        <v>250</v>
      </c>
      <c r="K8" s="143">
        <v>250</v>
      </c>
      <c r="L8" s="95"/>
      <c r="M8" s="621">
        <f t="shared" ref="M8:M52" si="3">K8-J8</f>
        <v>0</v>
      </c>
      <c r="N8" s="221">
        <f t="shared" si="0"/>
        <v>-10</v>
      </c>
      <c r="O8" s="104"/>
    </row>
    <row r="9" spans="1:15" ht="12.75" customHeight="1" x14ac:dyDescent="0.2">
      <c r="A9" s="231" t="s">
        <v>177</v>
      </c>
      <c r="B9" s="177">
        <v>1208</v>
      </c>
      <c r="D9" s="177">
        <v>1000</v>
      </c>
      <c r="E9" s="177">
        <v>1000</v>
      </c>
      <c r="F9" s="95"/>
      <c r="G9" s="598">
        <f t="shared" si="1"/>
        <v>0</v>
      </c>
      <c r="H9" s="96">
        <f t="shared" si="2"/>
        <v>-208</v>
      </c>
      <c r="I9" s="100"/>
      <c r="J9" s="177">
        <v>1200</v>
      </c>
      <c r="K9" s="177">
        <v>1100</v>
      </c>
      <c r="L9" s="95"/>
      <c r="M9" s="621">
        <f t="shared" si="3"/>
        <v>-100</v>
      </c>
      <c r="N9" s="221">
        <f t="shared" si="0"/>
        <v>100</v>
      </c>
    </row>
    <row r="10" spans="1:15" ht="12.75" customHeight="1" x14ac:dyDescent="0.2">
      <c r="A10" s="231" t="s">
        <v>178</v>
      </c>
      <c r="B10" s="141">
        <v>1577</v>
      </c>
      <c r="D10" s="141">
        <v>2000</v>
      </c>
      <c r="E10" s="141">
        <v>2100</v>
      </c>
      <c r="F10" s="95"/>
      <c r="G10" s="598">
        <f t="shared" si="1"/>
        <v>100</v>
      </c>
      <c r="H10" s="96">
        <f t="shared" si="2"/>
        <v>523</v>
      </c>
      <c r="I10" s="100"/>
      <c r="J10" s="141">
        <v>1800</v>
      </c>
      <c r="K10" s="141">
        <v>1800</v>
      </c>
      <c r="L10" s="95"/>
      <c r="M10" s="621">
        <f t="shared" si="3"/>
        <v>0</v>
      </c>
      <c r="N10" s="221">
        <f t="shared" si="0"/>
        <v>-300</v>
      </c>
    </row>
    <row r="11" spans="1:15" ht="12.75" customHeight="1" x14ac:dyDescent="0.2">
      <c r="A11" s="231" t="s">
        <v>179</v>
      </c>
      <c r="B11" s="97">
        <v>2500</v>
      </c>
      <c r="D11" s="97">
        <v>2900</v>
      </c>
      <c r="E11" s="97">
        <v>2900</v>
      </c>
      <c r="F11" s="95"/>
      <c r="G11" s="598">
        <f t="shared" si="1"/>
        <v>0</v>
      </c>
      <c r="H11" s="96">
        <f t="shared" si="2"/>
        <v>400</v>
      </c>
      <c r="I11" s="100"/>
      <c r="J11" s="97">
        <v>2900</v>
      </c>
      <c r="K11" s="97">
        <v>2900</v>
      </c>
      <c r="L11" s="95"/>
      <c r="M11" s="621">
        <f t="shared" si="3"/>
        <v>0</v>
      </c>
      <c r="N11" s="221">
        <f t="shared" si="0"/>
        <v>0</v>
      </c>
    </row>
    <row r="12" spans="1:15" ht="12.75" customHeight="1" x14ac:dyDescent="0.2">
      <c r="A12" s="231" t="s">
        <v>243</v>
      </c>
      <c r="B12" s="97">
        <v>24</v>
      </c>
      <c r="D12" s="97">
        <v>25</v>
      </c>
      <c r="E12" s="97">
        <v>25</v>
      </c>
      <c r="F12" s="95"/>
      <c r="G12" s="598">
        <f t="shared" ref="G12" si="4">E12-D12</f>
        <v>0</v>
      </c>
      <c r="H12" s="96">
        <f t="shared" ref="H12" si="5">E12-B12</f>
        <v>1</v>
      </c>
      <c r="I12" s="100"/>
      <c r="J12" s="97">
        <v>25</v>
      </c>
      <c r="K12" s="97">
        <v>25</v>
      </c>
      <c r="L12" s="95"/>
      <c r="M12" s="621">
        <f t="shared" si="3"/>
        <v>0</v>
      </c>
      <c r="N12" s="221">
        <f t="shared" ref="N12" si="6">K12-E12</f>
        <v>0</v>
      </c>
    </row>
    <row r="13" spans="1:15" ht="12.75" customHeight="1" x14ac:dyDescent="0.2">
      <c r="A13" s="220" t="s">
        <v>180</v>
      </c>
      <c r="B13" s="97">
        <v>1602</v>
      </c>
      <c r="D13" s="97">
        <v>1350</v>
      </c>
      <c r="E13" s="97">
        <v>1350</v>
      </c>
      <c r="F13" s="95"/>
      <c r="G13" s="598">
        <f t="shared" si="1"/>
        <v>0</v>
      </c>
      <c r="H13" s="96">
        <f t="shared" si="2"/>
        <v>-252</v>
      </c>
      <c r="I13" s="100"/>
      <c r="J13" s="97">
        <v>1400</v>
      </c>
      <c r="K13" s="97">
        <v>1400</v>
      </c>
      <c r="L13" s="95"/>
      <c r="M13" s="621">
        <f t="shared" si="3"/>
        <v>0</v>
      </c>
      <c r="N13" s="221">
        <f t="shared" si="0"/>
        <v>50</v>
      </c>
    </row>
    <row r="14" spans="1:15" ht="12.75" customHeight="1" x14ac:dyDescent="0.2">
      <c r="A14" s="220" t="s">
        <v>181</v>
      </c>
      <c r="B14" s="143">
        <v>65</v>
      </c>
      <c r="D14" s="143">
        <v>50</v>
      </c>
      <c r="E14" s="143">
        <v>50</v>
      </c>
      <c r="F14" s="95"/>
      <c r="G14" s="598">
        <f t="shared" si="1"/>
        <v>0</v>
      </c>
      <c r="H14" s="96">
        <f t="shared" si="2"/>
        <v>-15</v>
      </c>
      <c r="I14" s="100"/>
      <c r="J14" s="143">
        <v>55</v>
      </c>
      <c r="K14" s="143">
        <v>55</v>
      </c>
      <c r="L14" s="95"/>
      <c r="M14" s="621">
        <f t="shared" si="3"/>
        <v>0</v>
      </c>
      <c r="N14" s="221">
        <f>K14-E14</f>
        <v>5</v>
      </c>
    </row>
    <row r="15" spans="1:15" ht="12.75" customHeight="1" x14ac:dyDescent="0.2">
      <c r="A15" s="220" t="s">
        <v>272</v>
      </c>
      <c r="B15" s="143">
        <v>20</v>
      </c>
      <c r="D15" s="143">
        <v>20</v>
      </c>
      <c r="E15" s="143">
        <v>20</v>
      </c>
      <c r="F15" s="95"/>
      <c r="G15" s="598">
        <f t="shared" si="1"/>
        <v>0</v>
      </c>
      <c r="H15" s="96">
        <f t="shared" si="2"/>
        <v>0</v>
      </c>
      <c r="I15" s="100"/>
      <c r="J15" s="143">
        <v>25</v>
      </c>
      <c r="K15" s="143">
        <v>25</v>
      </c>
      <c r="L15" s="95"/>
      <c r="M15" s="621">
        <f t="shared" si="3"/>
        <v>0</v>
      </c>
      <c r="N15" s="221">
        <f>K15-E15</f>
        <v>5</v>
      </c>
    </row>
    <row r="16" spans="1:15" ht="12.75" customHeight="1" x14ac:dyDescent="0.2">
      <c r="A16" s="220" t="s">
        <v>182</v>
      </c>
      <c r="B16" s="143">
        <v>21</v>
      </c>
      <c r="D16" s="143">
        <v>25</v>
      </c>
      <c r="E16" s="143">
        <v>25</v>
      </c>
      <c r="F16" s="95"/>
      <c r="G16" s="598">
        <f t="shared" si="1"/>
        <v>0</v>
      </c>
      <c r="H16" s="96">
        <f t="shared" si="2"/>
        <v>4</v>
      </c>
      <c r="I16" s="100"/>
      <c r="J16" s="143">
        <v>35</v>
      </c>
      <c r="K16" s="143">
        <v>35</v>
      </c>
      <c r="L16" s="95"/>
      <c r="M16" s="621">
        <f t="shared" si="3"/>
        <v>0</v>
      </c>
      <c r="N16" s="221">
        <f t="shared" si="0"/>
        <v>10</v>
      </c>
    </row>
    <row r="17" spans="1:14" ht="12.75" customHeight="1" x14ac:dyDescent="0.2">
      <c r="A17" s="220" t="s">
        <v>184</v>
      </c>
      <c r="B17" s="143">
        <v>10</v>
      </c>
      <c r="D17" s="143">
        <v>0</v>
      </c>
      <c r="E17" s="143">
        <v>0</v>
      </c>
      <c r="F17" s="95"/>
      <c r="G17" s="598">
        <f t="shared" si="1"/>
        <v>0</v>
      </c>
      <c r="H17" s="96">
        <f t="shared" si="2"/>
        <v>-10</v>
      </c>
      <c r="I17" s="100"/>
      <c r="J17" s="143">
        <v>0</v>
      </c>
      <c r="K17" s="143">
        <v>0</v>
      </c>
      <c r="L17" s="95"/>
      <c r="M17" s="621">
        <f t="shared" si="3"/>
        <v>0</v>
      </c>
      <c r="N17" s="221">
        <f>K17-E17</f>
        <v>0</v>
      </c>
    </row>
    <row r="18" spans="1:14" ht="12.75" customHeight="1" x14ac:dyDescent="0.2">
      <c r="A18" s="220" t="s">
        <v>276</v>
      </c>
      <c r="B18" s="143">
        <v>7</v>
      </c>
      <c r="D18" s="143">
        <v>30</v>
      </c>
      <c r="E18" s="143">
        <v>40</v>
      </c>
      <c r="F18" s="95"/>
      <c r="G18" s="598">
        <f t="shared" si="1"/>
        <v>10</v>
      </c>
      <c r="H18" s="96">
        <f t="shared" si="2"/>
        <v>33</v>
      </c>
      <c r="I18" s="100"/>
      <c r="J18" s="143">
        <v>20</v>
      </c>
      <c r="K18" s="143">
        <v>20</v>
      </c>
      <c r="L18" s="95"/>
      <c r="M18" s="621">
        <f t="shared" si="3"/>
        <v>0</v>
      </c>
      <c r="N18" s="221">
        <f>K18-E18</f>
        <v>-20</v>
      </c>
    </row>
    <row r="19" spans="1:14" ht="12.75" customHeight="1" x14ac:dyDescent="0.2">
      <c r="A19" s="220" t="s">
        <v>185</v>
      </c>
      <c r="B19" s="143">
        <v>5</v>
      </c>
      <c r="D19" s="143">
        <v>5</v>
      </c>
      <c r="E19" s="143">
        <v>5</v>
      </c>
      <c r="F19" s="95"/>
      <c r="G19" s="598">
        <f t="shared" si="1"/>
        <v>0</v>
      </c>
      <c r="H19" s="96">
        <f t="shared" si="2"/>
        <v>0</v>
      </c>
      <c r="I19" s="100"/>
      <c r="J19" s="143">
        <v>5</v>
      </c>
      <c r="K19" s="143">
        <v>5</v>
      </c>
      <c r="L19" s="95"/>
      <c r="M19" s="621">
        <f t="shared" si="3"/>
        <v>0</v>
      </c>
      <c r="N19" s="221">
        <f t="shared" si="0"/>
        <v>0</v>
      </c>
    </row>
    <row r="20" spans="1:14" ht="12.75" customHeight="1" x14ac:dyDescent="0.2">
      <c r="A20" s="220" t="s">
        <v>379</v>
      </c>
      <c r="B20" s="143">
        <v>14</v>
      </c>
      <c r="D20" s="143">
        <v>12</v>
      </c>
      <c r="E20" s="143">
        <v>12</v>
      </c>
      <c r="F20" s="95"/>
      <c r="G20" s="598">
        <f t="shared" si="1"/>
        <v>0</v>
      </c>
      <c r="H20" s="96">
        <f t="shared" si="2"/>
        <v>-2</v>
      </c>
      <c r="I20" s="100"/>
      <c r="J20" s="143">
        <v>10</v>
      </c>
      <c r="K20" s="143">
        <v>10</v>
      </c>
      <c r="L20" s="95"/>
      <c r="M20" s="621">
        <f t="shared" si="3"/>
        <v>0</v>
      </c>
      <c r="N20" s="221">
        <f t="shared" si="0"/>
        <v>-2</v>
      </c>
    </row>
    <row r="21" spans="1:14" ht="12.75" customHeight="1" x14ac:dyDescent="0.2">
      <c r="A21" s="220" t="s">
        <v>186</v>
      </c>
      <c r="B21" s="143">
        <v>365</v>
      </c>
      <c r="D21" s="143">
        <v>360</v>
      </c>
      <c r="E21" s="143">
        <v>360</v>
      </c>
      <c r="F21" s="95"/>
      <c r="G21" s="598">
        <f t="shared" si="1"/>
        <v>0</v>
      </c>
      <c r="H21" s="96">
        <f t="shared" si="2"/>
        <v>-5</v>
      </c>
      <c r="I21" s="100"/>
      <c r="J21" s="143">
        <v>400</v>
      </c>
      <c r="K21" s="143">
        <v>400</v>
      </c>
      <c r="L21" s="95"/>
      <c r="M21" s="621">
        <f t="shared" si="3"/>
        <v>0</v>
      </c>
      <c r="N21" s="221">
        <f t="shared" si="0"/>
        <v>40</v>
      </c>
    </row>
    <row r="22" spans="1:14" ht="12.75" customHeight="1" x14ac:dyDescent="0.2">
      <c r="A22" s="220" t="s">
        <v>188</v>
      </c>
      <c r="B22" s="143">
        <v>80</v>
      </c>
      <c r="D22" s="143">
        <v>80</v>
      </c>
      <c r="E22" s="143">
        <v>80</v>
      </c>
      <c r="F22" s="95"/>
      <c r="G22" s="598">
        <f t="shared" si="1"/>
        <v>0</v>
      </c>
      <c r="H22" s="96">
        <f t="shared" si="2"/>
        <v>0</v>
      </c>
      <c r="I22" s="100"/>
      <c r="J22" s="143">
        <v>50</v>
      </c>
      <c r="K22" s="143">
        <v>50</v>
      </c>
      <c r="L22" s="95"/>
      <c r="M22" s="621">
        <f t="shared" si="3"/>
        <v>0</v>
      </c>
      <c r="N22" s="221">
        <f t="shared" si="0"/>
        <v>-30</v>
      </c>
    </row>
    <row r="23" spans="1:14" ht="12.75" customHeight="1" x14ac:dyDescent="0.2">
      <c r="A23" s="220" t="s">
        <v>189</v>
      </c>
      <c r="B23" s="143">
        <v>399</v>
      </c>
      <c r="D23" s="143">
        <v>465</v>
      </c>
      <c r="E23" s="143">
        <v>520</v>
      </c>
      <c r="F23" s="95"/>
      <c r="G23" s="598">
        <f t="shared" si="1"/>
        <v>55</v>
      </c>
      <c r="H23" s="96">
        <f t="shared" si="2"/>
        <v>121</v>
      </c>
      <c r="I23" s="100"/>
      <c r="J23" s="143">
        <v>450</v>
      </c>
      <c r="K23" s="143">
        <v>525</v>
      </c>
      <c r="L23" s="95"/>
      <c r="M23" s="621">
        <f t="shared" si="3"/>
        <v>75</v>
      </c>
      <c r="N23" s="221">
        <f t="shared" si="0"/>
        <v>5</v>
      </c>
    </row>
    <row r="24" spans="1:14" ht="12.75" customHeight="1" x14ac:dyDescent="0.2">
      <c r="A24" s="220" t="s">
        <v>241</v>
      </c>
      <c r="B24" s="143">
        <v>3</v>
      </c>
      <c r="D24" s="143">
        <v>0</v>
      </c>
      <c r="E24" s="143">
        <v>10</v>
      </c>
      <c r="F24" s="95"/>
      <c r="G24" s="598">
        <f t="shared" si="1"/>
        <v>10</v>
      </c>
      <c r="H24" s="96">
        <f t="shared" si="2"/>
        <v>7</v>
      </c>
      <c r="I24" s="100"/>
      <c r="J24" s="143">
        <v>0</v>
      </c>
      <c r="K24" s="143">
        <v>10</v>
      </c>
      <c r="L24" s="95"/>
      <c r="M24" s="621">
        <f t="shared" si="3"/>
        <v>10</v>
      </c>
      <c r="N24" s="221">
        <f t="shared" si="0"/>
        <v>0</v>
      </c>
    </row>
    <row r="25" spans="1:14" ht="12.75" customHeight="1" x14ac:dyDescent="0.2">
      <c r="A25" s="220" t="s">
        <v>190</v>
      </c>
      <c r="B25" s="97">
        <v>17733</v>
      </c>
      <c r="D25" s="97">
        <v>16800</v>
      </c>
      <c r="E25" s="97">
        <v>17500</v>
      </c>
      <c r="F25" s="95"/>
      <c r="G25" s="599">
        <f>E25-D25</f>
        <v>700</v>
      </c>
      <c r="H25" s="96">
        <f t="shared" si="2"/>
        <v>-233</v>
      </c>
      <c r="I25" s="100"/>
      <c r="J25" s="97">
        <v>18000</v>
      </c>
      <c r="K25" s="97">
        <v>21000</v>
      </c>
      <c r="L25" s="95"/>
      <c r="M25" s="621">
        <f t="shared" si="3"/>
        <v>3000</v>
      </c>
      <c r="N25" s="221">
        <f t="shared" si="0"/>
        <v>3500</v>
      </c>
    </row>
    <row r="26" spans="1:14" ht="12.75" customHeight="1" x14ac:dyDescent="0.2">
      <c r="A26" s="220" t="s">
        <v>194</v>
      </c>
      <c r="B26" s="143">
        <v>76</v>
      </c>
      <c r="D26" s="143">
        <v>80</v>
      </c>
      <c r="E26" s="143">
        <v>85</v>
      </c>
      <c r="F26" s="95"/>
      <c r="G26" s="598">
        <f t="shared" si="1"/>
        <v>5</v>
      </c>
      <c r="H26" s="96">
        <f t="shared" si="2"/>
        <v>9</v>
      </c>
      <c r="I26" s="100"/>
      <c r="J26" s="143">
        <v>80</v>
      </c>
      <c r="K26" s="143">
        <v>90</v>
      </c>
      <c r="L26" s="95"/>
      <c r="M26" s="621">
        <f t="shared" si="3"/>
        <v>10</v>
      </c>
      <c r="N26" s="221">
        <f t="shared" si="0"/>
        <v>5</v>
      </c>
    </row>
    <row r="27" spans="1:14" ht="12.75" customHeight="1" x14ac:dyDescent="0.2">
      <c r="A27" s="220" t="s">
        <v>229</v>
      </c>
      <c r="B27" s="143">
        <v>108</v>
      </c>
      <c r="D27" s="143">
        <v>90</v>
      </c>
      <c r="E27" s="143">
        <v>90</v>
      </c>
      <c r="F27" s="95"/>
      <c r="G27" s="598">
        <f t="shared" si="1"/>
        <v>0</v>
      </c>
      <c r="H27" s="96">
        <f t="shared" si="2"/>
        <v>-18</v>
      </c>
      <c r="I27" s="100"/>
      <c r="J27" s="143">
        <v>90</v>
      </c>
      <c r="K27" s="143">
        <v>90</v>
      </c>
      <c r="L27" s="95"/>
      <c r="M27" s="621">
        <f t="shared" si="3"/>
        <v>0</v>
      </c>
      <c r="N27" s="221">
        <f>K27-E27</f>
        <v>0</v>
      </c>
    </row>
    <row r="28" spans="1:14" ht="12.75" customHeight="1" x14ac:dyDescent="0.2">
      <c r="A28" s="220" t="s">
        <v>262</v>
      </c>
      <c r="B28" s="143">
        <v>61</v>
      </c>
      <c r="D28" s="143">
        <v>105</v>
      </c>
      <c r="E28" s="143">
        <v>105</v>
      </c>
      <c r="F28" s="95"/>
      <c r="G28" s="598">
        <f t="shared" si="1"/>
        <v>0</v>
      </c>
      <c r="H28" s="96">
        <f t="shared" si="2"/>
        <v>44</v>
      </c>
      <c r="I28" s="100"/>
      <c r="J28" s="143">
        <v>125</v>
      </c>
      <c r="K28" s="143">
        <v>125</v>
      </c>
      <c r="L28" s="95"/>
      <c r="M28" s="621">
        <f t="shared" si="3"/>
        <v>0</v>
      </c>
      <c r="N28" s="221">
        <f t="shared" si="0"/>
        <v>20</v>
      </c>
    </row>
    <row r="29" spans="1:14" ht="12.75" customHeight="1" x14ac:dyDescent="0.2">
      <c r="A29" s="220" t="s">
        <v>197</v>
      </c>
      <c r="B29" s="143">
        <v>40</v>
      </c>
      <c r="D29" s="143">
        <v>50</v>
      </c>
      <c r="E29" s="143">
        <v>50</v>
      </c>
      <c r="F29" s="95"/>
      <c r="G29" s="598">
        <f t="shared" si="1"/>
        <v>0</v>
      </c>
      <c r="H29" s="96">
        <f t="shared" si="2"/>
        <v>10</v>
      </c>
      <c r="I29" s="100"/>
      <c r="J29" s="143">
        <v>50</v>
      </c>
      <c r="K29" s="143">
        <v>50</v>
      </c>
      <c r="L29" s="95"/>
      <c r="M29" s="621">
        <f t="shared" si="3"/>
        <v>0</v>
      </c>
      <c r="N29" s="221">
        <f t="shared" si="0"/>
        <v>0</v>
      </c>
    </row>
    <row r="30" spans="1:14" ht="12.75" customHeight="1" x14ac:dyDescent="0.2">
      <c r="A30" s="220" t="s">
        <v>200</v>
      </c>
      <c r="B30" s="143">
        <v>123</v>
      </c>
      <c r="D30" s="143">
        <v>125</v>
      </c>
      <c r="E30" s="143">
        <v>125</v>
      </c>
      <c r="F30" s="95"/>
      <c r="G30" s="598">
        <f t="shared" si="1"/>
        <v>0</v>
      </c>
      <c r="H30" s="96">
        <f t="shared" si="2"/>
        <v>2</v>
      </c>
      <c r="I30" s="100"/>
      <c r="J30" s="143">
        <v>125</v>
      </c>
      <c r="K30" s="143">
        <v>125</v>
      </c>
      <c r="L30" s="95"/>
      <c r="M30" s="621">
        <f t="shared" si="3"/>
        <v>0</v>
      </c>
      <c r="N30" s="221">
        <f>K30-E30</f>
        <v>0</v>
      </c>
    </row>
    <row r="31" spans="1:14" ht="12.75" customHeight="1" x14ac:dyDescent="0.2">
      <c r="A31" s="220" t="s">
        <v>202</v>
      </c>
      <c r="B31" s="143">
        <v>5</v>
      </c>
      <c r="D31" s="143">
        <v>5</v>
      </c>
      <c r="E31" s="143">
        <v>5</v>
      </c>
      <c r="F31" s="95"/>
      <c r="G31" s="598">
        <f t="shared" si="1"/>
        <v>0</v>
      </c>
      <c r="H31" s="96">
        <f t="shared" si="2"/>
        <v>0</v>
      </c>
      <c r="I31" s="100"/>
      <c r="J31" s="143">
        <v>5</v>
      </c>
      <c r="K31" s="143">
        <v>5</v>
      </c>
      <c r="L31" s="95"/>
      <c r="M31" s="621">
        <f t="shared" si="3"/>
        <v>0</v>
      </c>
      <c r="N31" s="221">
        <f>K31-E31</f>
        <v>0</v>
      </c>
    </row>
    <row r="32" spans="1:14" ht="12.75" customHeight="1" x14ac:dyDescent="0.2">
      <c r="A32" s="220" t="s">
        <v>206</v>
      </c>
      <c r="B32" s="97">
        <v>4528</v>
      </c>
      <c r="D32" s="97">
        <v>6100</v>
      </c>
      <c r="E32" s="97">
        <v>6000</v>
      </c>
      <c r="F32" s="95"/>
      <c r="G32" s="598">
        <f t="shared" si="1"/>
        <v>-100</v>
      </c>
      <c r="H32" s="96">
        <f t="shared" si="2"/>
        <v>1472</v>
      </c>
      <c r="I32" s="100"/>
      <c r="J32" s="97">
        <v>5600</v>
      </c>
      <c r="K32" s="97">
        <v>5300</v>
      </c>
      <c r="L32" s="95"/>
      <c r="M32" s="621">
        <f t="shared" si="3"/>
        <v>-300</v>
      </c>
      <c r="N32" s="221">
        <f t="shared" si="0"/>
        <v>-700</v>
      </c>
    </row>
    <row r="33" spans="1:15" ht="12.75" customHeight="1" x14ac:dyDescent="0.2">
      <c r="A33" s="220" t="s">
        <v>207</v>
      </c>
      <c r="B33" s="143">
        <v>857</v>
      </c>
      <c r="D33" s="143">
        <v>800</v>
      </c>
      <c r="E33" s="143">
        <v>800</v>
      </c>
      <c r="F33" s="95"/>
      <c r="G33" s="598">
        <f t="shared" si="1"/>
        <v>0</v>
      </c>
      <c r="H33" s="96">
        <f t="shared" si="2"/>
        <v>-57</v>
      </c>
      <c r="I33" s="100"/>
      <c r="J33" s="143">
        <v>850</v>
      </c>
      <c r="K33" s="143">
        <v>850</v>
      </c>
      <c r="L33" s="95"/>
      <c r="M33" s="621">
        <f t="shared" si="3"/>
        <v>0</v>
      </c>
      <c r="N33" s="221">
        <f t="shared" si="0"/>
        <v>50</v>
      </c>
    </row>
    <row r="34" spans="1:15" ht="12.75" customHeight="1" x14ac:dyDescent="0.2">
      <c r="A34" s="220" t="s">
        <v>208</v>
      </c>
      <c r="B34" s="143">
        <v>50</v>
      </c>
      <c r="D34" s="143">
        <v>50</v>
      </c>
      <c r="E34" s="143">
        <v>50</v>
      </c>
      <c r="F34" s="95"/>
      <c r="G34" s="598">
        <f t="shared" si="1"/>
        <v>0</v>
      </c>
      <c r="H34" s="96">
        <f t="shared" si="2"/>
        <v>0</v>
      </c>
      <c r="I34" s="100"/>
      <c r="J34" s="143">
        <v>50</v>
      </c>
      <c r="K34" s="143">
        <v>50</v>
      </c>
      <c r="L34" s="95"/>
      <c r="M34" s="621">
        <f t="shared" si="3"/>
        <v>0</v>
      </c>
      <c r="N34" s="221">
        <f t="shared" si="0"/>
        <v>0</v>
      </c>
    </row>
    <row r="35" spans="1:15" ht="12.75" customHeight="1" x14ac:dyDescent="0.2">
      <c r="A35" s="220" t="s">
        <v>210</v>
      </c>
      <c r="B35" s="143">
        <v>100</v>
      </c>
      <c r="D35" s="143">
        <v>100</v>
      </c>
      <c r="E35" s="143">
        <v>100</v>
      </c>
      <c r="F35" s="95"/>
      <c r="G35" s="598">
        <f t="shared" si="1"/>
        <v>0</v>
      </c>
      <c r="H35" s="96">
        <f t="shared" si="2"/>
        <v>0</v>
      </c>
      <c r="I35" s="100"/>
      <c r="J35" s="143">
        <v>100</v>
      </c>
      <c r="K35" s="143">
        <v>100</v>
      </c>
      <c r="L35" s="95"/>
      <c r="M35" s="621">
        <f t="shared" si="3"/>
        <v>0</v>
      </c>
      <c r="N35" s="221">
        <f t="shared" si="0"/>
        <v>0</v>
      </c>
    </row>
    <row r="36" spans="1:15" ht="12.75" customHeight="1" x14ac:dyDescent="0.2">
      <c r="A36" s="220" t="s">
        <v>228</v>
      </c>
      <c r="B36" s="143">
        <v>80</v>
      </c>
      <c r="D36" s="143">
        <v>75</v>
      </c>
      <c r="E36" s="143">
        <v>75</v>
      </c>
      <c r="F36" s="95"/>
      <c r="G36" s="598">
        <f t="shared" si="1"/>
        <v>0</v>
      </c>
      <c r="H36" s="96">
        <f t="shared" si="2"/>
        <v>-5</v>
      </c>
      <c r="I36" s="100"/>
      <c r="J36" s="143">
        <v>75</v>
      </c>
      <c r="K36" s="143">
        <v>75</v>
      </c>
      <c r="L36" s="95"/>
      <c r="M36" s="621">
        <f t="shared" si="3"/>
        <v>0</v>
      </c>
      <c r="N36" s="221">
        <f t="shared" si="0"/>
        <v>0</v>
      </c>
    </row>
    <row r="37" spans="1:15" ht="12.75" customHeight="1" x14ac:dyDescent="0.2">
      <c r="A37" s="220" t="s">
        <v>227</v>
      </c>
      <c r="B37" s="143">
        <v>159</v>
      </c>
      <c r="D37" s="143">
        <v>160</v>
      </c>
      <c r="E37" s="143">
        <v>160</v>
      </c>
      <c r="F37" s="95"/>
      <c r="G37" s="598">
        <f t="shared" si="1"/>
        <v>0</v>
      </c>
      <c r="H37" s="96">
        <f t="shared" si="2"/>
        <v>1</v>
      </c>
      <c r="I37" s="100"/>
      <c r="J37" s="143">
        <v>150</v>
      </c>
      <c r="K37" s="143">
        <v>150</v>
      </c>
      <c r="L37" s="95"/>
      <c r="M37" s="621">
        <f t="shared" si="3"/>
        <v>0</v>
      </c>
      <c r="N37" s="221">
        <f t="shared" si="0"/>
        <v>-10</v>
      </c>
    </row>
    <row r="38" spans="1:15" ht="12.75" customHeight="1" x14ac:dyDescent="0.2">
      <c r="A38" s="220" t="s">
        <v>226</v>
      </c>
      <c r="B38" s="143">
        <v>110</v>
      </c>
      <c r="D38" s="143">
        <v>100</v>
      </c>
      <c r="E38" s="143">
        <v>100</v>
      </c>
      <c r="F38" s="95"/>
      <c r="G38" s="598">
        <f t="shared" si="1"/>
        <v>0</v>
      </c>
      <c r="H38" s="96">
        <f t="shared" si="2"/>
        <v>-10</v>
      </c>
      <c r="I38" s="100"/>
      <c r="J38" s="143">
        <v>100</v>
      </c>
      <c r="K38" s="143">
        <v>100</v>
      </c>
      <c r="L38" s="95"/>
      <c r="M38" s="621">
        <f t="shared" si="3"/>
        <v>0</v>
      </c>
      <c r="N38" s="221">
        <f t="shared" si="0"/>
        <v>0</v>
      </c>
    </row>
    <row r="39" spans="1:15" ht="12.75" customHeight="1" x14ac:dyDescent="0.2">
      <c r="A39" s="220" t="s">
        <v>213</v>
      </c>
      <c r="B39" s="143">
        <v>129</v>
      </c>
      <c r="D39" s="143">
        <v>150</v>
      </c>
      <c r="E39" s="143">
        <v>150</v>
      </c>
      <c r="F39" s="95"/>
      <c r="G39" s="598">
        <f t="shared" si="1"/>
        <v>0</v>
      </c>
      <c r="H39" s="96">
        <f t="shared" si="2"/>
        <v>21</v>
      </c>
      <c r="I39" s="100"/>
      <c r="J39" s="143">
        <v>120</v>
      </c>
      <c r="K39" s="143">
        <v>120</v>
      </c>
      <c r="L39" s="95"/>
      <c r="M39" s="621">
        <f t="shared" si="3"/>
        <v>0</v>
      </c>
      <c r="N39" s="221">
        <f>K39-E39</f>
        <v>-30</v>
      </c>
    </row>
    <row r="40" spans="1:15" ht="12.75" customHeight="1" x14ac:dyDescent="0.2">
      <c r="A40" s="220" t="s">
        <v>214</v>
      </c>
      <c r="B40" s="143">
        <v>25</v>
      </c>
      <c r="D40" s="143">
        <v>10</v>
      </c>
      <c r="E40" s="143">
        <v>10</v>
      </c>
      <c r="F40" s="95"/>
      <c r="G40" s="598">
        <f t="shared" si="1"/>
        <v>0</v>
      </c>
      <c r="H40" s="96">
        <f t="shared" si="2"/>
        <v>-15</v>
      </c>
      <c r="I40" s="100"/>
      <c r="J40" s="143">
        <v>10</v>
      </c>
      <c r="K40" s="143">
        <v>10</v>
      </c>
      <c r="L40" s="95"/>
      <c r="M40" s="621">
        <f t="shared" si="3"/>
        <v>0</v>
      </c>
      <c r="N40" s="221">
        <f>K40-E40</f>
        <v>0</v>
      </c>
    </row>
    <row r="41" spans="1:15" ht="12.75" customHeight="1" x14ac:dyDescent="0.2">
      <c r="A41" s="220" t="s">
        <v>215</v>
      </c>
      <c r="B41" s="141">
        <v>8736</v>
      </c>
      <c r="D41" s="141">
        <v>8800</v>
      </c>
      <c r="E41" s="141">
        <v>8900</v>
      </c>
      <c r="F41" s="95"/>
      <c r="G41" s="598">
        <f t="shared" si="1"/>
        <v>100</v>
      </c>
      <c r="H41" s="96">
        <f t="shared" si="2"/>
        <v>164</v>
      </c>
      <c r="I41" s="100"/>
      <c r="J41" s="141">
        <v>7500</v>
      </c>
      <c r="K41" s="141">
        <v>7300</v>
      </c>
      <c r="L41" s="95"/>
      <c r="M41" s="621">
        <f t="shared" si="3"/>
        <v>-200</v>
      </c>
      <c r="N41" s="221">
        <f t="shared" si="0"/>
        <v>-1600</v>
      </c>
    </row>
    <row r="42" spans="1:15" ht="12.75" customHeight="1" x14ac:dyDescent="0.2">
      <c r="A42" s="220" t="s">
        <v>216</v>
      </c>
      <c r="B42" s="143">
        <v>258</v>
      </c>
      <c r="D42" s="143">
        <v>300</v>
      </c>
      <c r="E42" s="143">
        <v>300</v>
      </c>
      <c r="F42" s="95"/>
      <c r="G42" s="598">
        <f t="shared" si="1"/>
        <v>0</v>
      </c>
      <c r="H42" s="96">
        <f t="shared" si="2"/>
        <v>42</v>
      </c>
      <c r="I42" s="100"/>
      <c r="J42" s="143">
        <v>250</v>
      </c>
      <c r="K42" s="143">
        <v>250</v>
      </c>
      <c r="L42" s="95"/>
      <c r="M42" s="621">
        <f t="shared" si="3"/>
        <v>0</v>
      </c>
      <c r="N42" s="221">
        <f t="shared" si="0"/>
        <v>-50</v>
      </c>
    </row>
    <row r="43" spans="1:15" ht="12.75" customHeight="1" x14ac:dyDescent="0.2">
      <c r="A43" s="220" t="s">
        <v>291</v>
      </c>
      <c r="B43" s="143">
        <v>30</v>
      </c>
      <c r="D43" s="143">
        <v>35</v>
      </c>
      <c r="E43" s="143">
        <v>35</v>
      </c>
      <c r="F43" s="95"/>
      <c r="G43" s="598">
        <f t="shared" si="1"/>
        <v>0</v>
      </c>
      <c r="H43" s="96">
        <f t="shared" si="2"/>
        <v>5</v>
      </c>
      <c r="I43" s="100"/>
      <c r="J43" s="143">
        <v>35</v>
      </c>
      <c r="K43" s="143">
        <v>35</v>
      </c>
      <c r="L43" s="95"/>
      <c r="M43" s="621">
        <f t="shared" si="3"/>
        <v>0</v>
      </c>
      <c r="N43" s="221">
        <f t="shared" si="0"/>
        <v>0</v>
      </c>
    </row>
    <row r="44" spans="1:15" ht="12.75" customHeight="1" x14ac:dyDescent="0.2">
      <c r="A44" s="220" t="s">
        <v>218</v>
      </c>
      <c r="B44" s="141">
        <v>2397</v>
      </c>
      <c r="D44" s="141">
        <f>3200-30</f>
        <v>3170</v>
      </c>
      <c r="E44" s="141">
        <f>3200-30</f>
        <v>3170</v>
      </c>
      <c r="F44" s="95"/>
      <c r="G44" s="600">
        <f t="shared" si="1"/>
        <v>0</v>
      </c>
      <c r="H44" s="96">
        <f t="shared" si="2"/>
        <v>773</v>
      </c>
      <c r="I44" s="100"/>
      <c r="J44" s="141">
        <v>3225</v>
      </c>
      <c r="K44" s="141">
        <v>3225</v>
      </c>
      <c r="L44" s="95"/>
      <c r="M44" s="621">
        <f t="shared" si="3"/>
        <v>0</v>
      </c>
      <c r="N44" s="221">
        <f t="shared" si="0"/>
        <v>55</v>
      </c>
    </row>
    <row r="45" spans="1:15" ht="12.75" customHeight="1" x14ac:dyDescent="0.2">
      <c r="A45" s="220" t="s">
        <v>219</v>
      </c>
      <c r="B45" s="282">
        <v>991</v>
      </c>
      <c r="D45" s="143">
        <v>875</v>
      </c>
      <c r="E45" s="143">
        <v>800</v>
      </c>
      <c r="F45" s="95"/>
      <c r="G45" s="598">
        <f t="shared" si="1"/>
        <v>-75</v>
      </c>
      <c r="H45" s="96">
        <f t="shared" si="2"/>
        <v>-191</v>
      </c>
      <c r="I45" s="100"/>
      <c r="J45" s="141">
        <v>1000</v>
      </c>
      <c r="K45" s="141">
        <v>1000</v>
      </c>
      <c r="L45" s="95"/>
      <c r="M45" s="621">
        <f t="shared" si="3"/>
        <v>0</v>
      </c>
      <c r="N45" s="221">
        <f t="shared" si="0"/>
        <v>200</v>
      </c>
    </row>
    <row r="46" spans="1:15" s="136" customFormat="1" ht="12.75" customHeight="1" x14ac:dyDescent="0.2">
      <c r="A46" s="232" t="s">
        <v>221</v>
      </c>
      <c r="B46" s="97">
        <v>8225</v>
      </c>
      <c r="C46" s="132"/>
      <c r="D46" s="97">
        <v>8600</v>
      </c>
      <c r="E46" s="97">
        <v>8600</v>
      </c>
      <c r="F46" s="233"/>
      <c r="G46" s="598">
        <f t="shared" si="1"/>
        <v>0</v>
      </c>
      <c r="H46" s="96">
        <f t="shared" si="2"/>
        <v>375</v>
      </c>
      <c r="I46" s="134"/>
      <c r="J46" s="97">
        <v>7400</v>
      </c>
      <c r="K46" s="97">
        <v>7200</v>
      </c>
      <c r="L46" s="233"/>
      <c r="M46" s="621">
        <f t="shared" si="3"/>
        <v>-200</v>
      </c>
      <c r="N46" s="223">
        <f t="shared" si="0"/>
        <v>-1400</v>
      </c>
      <c r="O46" s="135"/>
    </row>
    <row r="47" spans="1:15" s="136" customFormat="1" ht="12.75" customHeight="1" x14ac:dyDescent="0.2">
      <c r="A47" s="232" t="s">
        <v>222</v>
      </c>
      <c r="B47" s="133">
        <f>SUM(B7:B46)</f>
        <v>53262</v>
      </c>
      <c r="C47" s="132"/>
      <c r="D47" s="133">
        <f>SUM(D7:D46)</f>
        <v>55462</v>
      </c>
      <c r="E47" s="133">
        <f>SUM(E7:E46)</f>
        <v>56267</v>
      </c>
      <c r="F47" s="233"/>
      <c r="G47" s="598">
        <f t="shared" si="1"/>
        <v>805</v>
      </c>
      <c r="H47" s="96">
        <f t="shared" si="2"/>
        <v>3005</v>
      </c>
      <c r="I47" s="133"/>
      <c r="J47" s="133">
        <f>SUM(J7:J46)</f>
        <v>53990</v>
      </c>
      <c r="K47" s="133">
        <f>SUM(K7:K46)</f>
        <v>56285</v>
      </c>
      <c r="L47" s="233"/>
      <c r="M47" s="621">
        <f t="shared" si="3"/>
        <v>2295</v>
      </c>
      <c r="N47" s="223">
        <f t="shared" si="0"/>
        <v>18</v>
      </c>
      <c r="O47" s="135"/>
    </row>
    <row r="48" spans="1:15" s="136" customFormat="1" ht="12.75" customHeight="1" x14ac:dyDescent="0.2">
      <c r="A48" s="232" t="s">
        <v>225</v>
      </c>
      <c r="B48" s="138">
        <f>B50-B47</f>
        <v>29</v>
      </c>
      <c r="C48" s="132"/>
      <c r="D48" s="138">
        <f>D50-D47</f>
        <v>28</v>
      </c>
      <c r="E48" s="138">
        <f>E50-E47</f>
        <v>28</v>
      </c>
      <c r="F48" s="234"/>
      <c r="G48" s="598">
        <f t="shared" si="1"/>
        <v>0</v>
      </c>
      <c r="H48" s="96">
        <f t="shared" si="2"/>
        <v>-1</v>
      </c>
      <c r="I48" s="138"/>
      <c r="J48" s="138">
        <f>J50-J47</f>
        <v>29</v>
      </c>
      <c r="K48" s="138">
        <f>K50-K47</f>
        <v>29</v>
      </c>
      <c r="L48" s="234"/>
      <c r="M48" s="621">
        <f t="shared" si="3"/>
        <v>0</v>
      </c>
      <c r="N48" s="223">
        <f t="shared" si="0"/>
        <v>1</v>
      </c>
      <c r="O48" s="135"/>
    </row>
    <row r="49" spans="1:25" s="136" customFormat="1" ht="8.4" customHeight="1" x14ac:dyDescent="0.2">
      <c r="A49" s="232"/>
      <c r="B49" s="137"/>
      <c r="C49" s="132"/>
      <c r="D49" s="137"/>
      <c r="E49" s="137"/>
      <c r="F49" s="234"/>
      <c r="G49" s="601"/>
      <c r="H49" s="96"/>
      <c r="I49" s="137"/>
      <c r="J49" s="137"/>
      <c r="K49" s="137"/>
      <c r="L49" s="234"/>
      <c r="M49" s="621"/>
      <c r="N49" s="235"/>
      <c r="O49" s="135"/>
    </row>
    <row r="50" spans="1:25" s="136" customFormat="1" ht="12.75" customHeight="1" x14ac:dyDescent="0.2">
      <c r="A50" s="273" t="s">
        <v>224</v>
      </c>
      <c r="B50" s="133">
        <v>53291</v>
      </c>
      <c r="C50" s="132"/>
      <c r="D50" s="133">
        <v>55490</v>
      </c>
      <c r="E50" s="133">
        <v>56295</v>
      </c>
      <c r="F50" s="233"/>
      <c r="G50" s="602">
        <f>E50-D50</f>
        <v>805</v>
      </c>
      <c r="H50" s="96">
        <f t="shared" si="2"/>
        <v>3004</v>
      </c>
      <c r="I50" s="134"/>
      <c r="J50" s="133">
        <v>54019</v>
      </c>
      <c r="K50" s="133">
        <v>56314</v>
      </c>
      <c r="L50" s="233"/>
      <c r="M50" s="621">
        <f>K50-J50</f>
        <v>2295</v>
      </c>
      <c r="N50" s="223">
        <f>K50-E50</f>
        <v>19</v>
      </c>
      <c r="O50" s="274"/>
    </row>
    <row r="51" spans="1:25" s="136" customFormat="1" ht="12.75" customHeight="1" x14ac:dyDescent="0.2">
      <c r="A51" s="232"/>
      <c r="B51" s="133"/>
      <c r="C51" s="132"/>
      <c r="D51" s="133"/>
      <c r="E51" s="133"/>
      <c r="F51" s="233"/>
      <c r="G51" s="598"/>
      <c r="H51" s="222"/>
      <c r="I51" s="134"/>
      <c r="J51" s="133"/>
      <c r="K51" s="133"/>
      <c r="L51" s="233"/>
      <c r="M51" s="621"/>
      <c r="N51" s="223"/>
      <c r="O51" s="135"/>
    </row>
    <row r="52" spans="1:25" s="136" customFormat="1" ht="12.75" customHeight="1" x14ac:dyDescent="0.2">
      <c r="A52" s="232" t="s">
        <v>462</v>
      </c>
      <c r="B52" s="139">
        <f>B44/B50</f>
        <v>4.4979452440374545E-2</v>
      </c>
      <c r="C52" s="132"/>
      <c r="D52" s="139">
        <f>D44/D50</f>
        <v>5.712741034420616E-2</v>
      </c>
      <c r="E52" s="139">
        <f>E44/E50</f>
        <v>5.6310507149835688E-2</v>
      </c>
      <c r="F52" s="236"/>
      <c r="G52" s="598"/>
      <c r="H52" s="532"/>
      <c r="I52" s="134"/>
      <c r="J52" s="139">
        <f>J44/J50</f>
        <v>5.9701216238730814E-2</v>
      </c>
      <c r="K52" s="139">
        <f>K44/K50</f>
        <v>5.7268174876584865E-2</v>
      </c>
      <c r="L52" s="236"/>
      <c r="M52" s="621">
        <f t="shared" si="3"/>
        <v>-2.433041362145949E-3</v>
      </c>
      <c r="N52" s="533"/>
      <c r="O52" s="135"/>
    </row>
    <row r="53" spans="1:25" ht="12.75" customHeight="1" thickBot="1" x14ac:dyDescent="0.25">
      <c r="A53" s="224"/>
      <c r="B53" s="237"/>
      <c r="C53" s="238"/>
      <c r="D53" s="237"/>
      <c r="E53" s="237"/>
      <c r="F53" s="239"/>
      <c r="G53" s="603"/>
      <c r="H53" s="225"/>
      <c r="I53" s="240"/>
      <c r="J53" s="237"/>
      <c r="K53" s="237"/>
      <c r="L53" s="239"/>
      <c r="M53" s="225"/>
      <c r="N53" s="226"/>
    </row>
    <row r="54" spans="1:25" ht="14.25" customHeight="1" x14ac:dyDescent="0.2">
      <c r="A54" s="115" t="s">
        <v>280</v>
      </c>
      <c r="B54" s="112"/>
      <c r="D54" s="112"/>
      <c r="E54" s="112"/>
      <c r="F54" s="111"/>
      <c r="G54" s="597"/>
      <c r="H54" s="96"/>
      <c r="I54" s="100"/>
      <c r="J54" s="112"/>
      <c r="K54" s="112"/>
      <c r="L54" s="111"/>
      <c r="M54" s="96"/>
      <c r="N54" s="96"/>
    </row>
    <row r="55" spans="1:25" ht="12" customHeight="1" x14ac:dyDescent="0.2">
      <c r="A55" s="115" t="s">
        <v>456</v>
      </c>
      <c r="B55" s="114"/>
      <c r="D55" s="114"/>
      <c r="E55" s="114"/>
      <c r="F55" s="111"/>
      <c r="G55" s="597"/>
      <c r="H55" s="96"/>
      <c r="I55" s="100"/>
      <c r="J55" s="114"/>
      <c r="K55" s="114"/>
      <c r="L55" s="111"/>
      <c r="M55" s="96"/>
      <c r="N55" s="96"/>
    </row>
    <row r="56" spans="1:25" s="67" customFormat="1" ht="11.4" x14ac:dyDescent="0.2">
      <c r="A56" s="115" t="s">
        <v>321</v>
      </c>
      <c r="B56" s="96"/>
      <c r="C56" s="96"/>
      <c r="D56" s="96"/>
      <c r="E56" s="96"/>
      <c r="F56" s="96"/>
      <c r="G56" s="597"/>
      <c r="H56" s="101"/>
      <c r="I56" s="96"/>
      <c r="J56" s="96"/>
      <c r="K56" s="96"/>
      <c r="L56" s="96"/>
      <c r="M56" s="96"/>
      <c r="N56" s="101"/>
      <c r="Y56" s="68"/>
    </row>
    <row r="57" spans="1:25" ht="12" customHeight="1" x14ac:dyDescent="0.2">
      <c r="A57" s="6" t="s">
        <v>477</v>
      </c>
      <c r="B57" s="112"/>
      <c r="D57" s="112"/>
      <c r="E57" s="112"/>
      <c r="F57" s="111"/>
      <c r="G57" s="597"/>
      <c r="H57" s="96"/>
      <c r="I57" s="100"/>
      <c r="J57" s="112"/>
      <c r="K57" s="112"/>
      <c r="L57" s="111"/>
      <c r="M57" s="96"/>
      <c r="N57" s="96"/>
    </row>
    <row r="58" spans="1:25" x14ac:dyDescent="0.2">
      <c r="B58" s="110"/>
      <c r="D58" s="110"/>
      <c r="E58" s="110"/>
      <c r="F58" s="95"/>
      <c r="G58" s="597"/>
      <c r="H58" s="67"/>
      <c r="I58" s="98"/>
      <c r="J58" s="110"/>
      <c r="K58" s="110"/>
      <c r="L58" s="95"/>
      <c r="M58" s="96"/>
      <c r="N58" s="67"/>
    </row>
    <row r="59" spans="1:25" x14ac:dyDescent="0.2">
      <c r="B59" s="109"/>
      <c r="D59" s="109"/>
      <c r="E59" s="109"/>
      <c r="F59" s="95"/>
      <c r="G59" s="597"/>
      <c r="H59" s="67"/>
      <c r="I59" s="98"/>
      <c r="J59" s="109"/>
      <c r="K59" s="109"/>
      <c r="L59" s="95"/>
      <c r="M59" s="96"/>
      <c r="N59" s="67"/>
    </row>
    <row r="60" spans="1:25" x14ac:dyDescent="0.2">
      <c r="B60" s="109"/>
      <c r="D60" s="109"/>
      <c r="E60" s="109"/>
      <c r="F60" s="95"/>
      <c r="G60" s="597"/>
      <c r="H60" s="67"/>
      <c r="I60" s="98"/>
      <c r="J60" s="109"/>
      <c r="K60" s="109"/>
      <c r="L60" s="95"/>
      <c r="M60" s="96"/>
      <c r="N60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2"/>
  <sheetViews>
    <sheetView showGridLines="0" zoomScale="140" zoomScaleNormal="1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8" sqref="H88"/>
    </sheetView>
  </sheetViews>
  <sheetFormatPr defaultColWidth="8.6640625" defaultRowHeight="11.4" x14ac:dyDescent="0.2"/>
  <cols>
    <col min="1" max="1" width="20.77734375" style="67" customWidth="1"/>
    <col min="2" max="2" width="9.88671875" style="96" customWidth="1"/>
    <col min="3" max="3" width="1.6640625" style="96" customWidth="1"/>
    <col min="4" max="4" width="10.44140625" style="619" customWidth="1"/>
    <col min="5" max="5" width="1.88671875" style="100" customWidth="1"/>
    <col min="6" max="6" width="10.44140625" style="619" customWidth="1"/>
    <col min="7" max="7" width="1.6640625" style="100" customWidth="1"/>
    <col min="8" max="8" width="10.21875" style="96" customWidth="1"/>
    <col min="9" max="9" width="10" style="96" customWidth="1"/>
    <col min="10" max="10" width="10.44140625" style="619" customWidth="1"/>
    <col min="11" max="11" width="1.88671875" style="100" customWidth="1"/>
    <col min="12" max="12" width="10.44140625" style="619" customWidth="1"/>
    <col min="13" max="13" width="1.6640625" style="100" customWidth="1"/>
    <col min="14" max="14" width="10.21875" style="96" customWidth="1"/>
    <col min="15" max="15" width="10.44140625" style="96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08" t="s">
        <v>341</v>
      </c>
      <c r="B1" s="605"/>
      <c r="C1" s="605"/>
      <c r="D1" s="592"/>
      <c r="E1" s="605"/>
      <c r="F1" s="592"/>
      <c r="G1" s="605"/>
      <c r="H1" s="605"/>
      <c r="I1" s="605"/>
      <c r="J1" s="592"/>
      <c r="K1" s="605"/>
      <c r="L1" s="592"/>
      <c r="M1" s="605"/>
      <c r="N1" s="605"/>
      <c r="O1" s="606"/>
      <c r="W1" s="68"/>
    </row>
    <row r="2" spans="1:23" ht="15" customHeight="1" x14ac:dyDescent="0.2">
      <c r="A2" s="212"/>
      <c r="B2" s="607"/>
      <c r="C2" s="608"/>
      <c r="D2" s="609"/>
      <c r="E2" s="610"/>
      <c r="F2" s="609"/>
      <c r="G2" s="610" t="s">
        <v>375</v>
      </c>
      <c r="H2" s="611"/>
      <c r="I2" s="611"/>
      <c r="J2" s="609"/>
      <c r="K2" s="610"/>
      <c r="L2" s="609"/>
      <c r="M2" s="610" t="s">
        <v>445</v>
      </c>
      <c r="N2" s="611"/>
      <c r="O2" s="612"/>
      <c r="W2" s="70"/>
    </row>
    <row r="3" spans="1:23" ht="12.75" customHeight="1" x14ac:dyDescent="0.2">
      <c r="A3" s="212"/>
      <c r="B3" s="613"/>
      <c r="C3" s="613"/>
      <c r="D3" s="614" t="str">
        <f>J3</f>
        <v>September</v>
      </c>
      <c r="E3" s="615"/>
      <c r="F3" s="614" t="str">
        <f>L3</f>
        <v>October</v>
      </c>
      <c r="G3" s="615"/>
      <c r="H3" s="615" t="s">
        <v>169</v>
      </c>
      <c r="I3" s="615" t="s">
        <v>170</v>
      </c>
      <c r="J3" s="614" t="s">
        <v>48</v>
      </c>
      <c r="K3" s="615"/>
      <c r="L3" s="614" t="s">
        <v>49</v>
      </c>
      <c r="M3" s="615"/>
      <c r="N3" s="615" t="s">
        <v>169</v>
      </c>
      <c r="O3" s="616" t="s">
        <v>170</v>
      </c>
      <c r="W3" s="70"/>
    </row>
    <row r="4" spans="1:23" s="95" customFormat="1" ht="13.5" customHeight="1" thickBot="1" x14ac:dyDescent="0.25">
      <c r="A4" s="311" t="s">
        <v>454</v>
      </c>
      <c r="B4" s="308">
        <v>2023</v>
      </c>
      <c r="C4" s="613"/>
      <c r="D4" s="651">
        <v>2024</v>
      </c>
      <c r="E4" s="308"/>
      <c r="F4" s="651">
        <v>2024</v>
      </c>
      <c r="G4" s="615"/>
      <c r="H4" s="615" t="s">
        <v>171</v>
      </c>
      <c r="I4" s="615" t="s">
        <v>172</v>
      </c>
      <c r="J4" s="651">
        <v>2024</v>
      </c>
      <c r="K4" s="308"/>
      <c r="L4" s="651">
        <v>2024</v>
      </c>
      <c r="M4" s="615"/>
      <c r="N4" s="615" t="s">
        <v>171</v>
      </c>
      <c r="O4" s="616" t="s">
        <v>172</v>
      </c>
    </row>
    <row r="5" spans="1:23" ht="12.75" customHeight="1" x14ac:dyDescent="0.2">
      <c r="A5" s="312"/>
      <c r="B5" s="313"/>
      <c r="C5" s="314"/>
      <c r="D5" s="617"/>
      <c r="E5" s="315"/>
      <c r="F5" s="617"/>
      <c r="G5" s="315"/>
      <c r="H5" s="618" t="s">
        <v>376</v>
      </c>
      <c r="I5" s="314"/>
      <c r="J5" s="617"/>
      <c r="K5" s="315"/>
      <c r="L5" s="617"/>
      <c r="M5" s="315"/>
      <c r="N5" s="618"/>
      <c r="O5" s="316"/>
      <c r="V5" s="68"/>
    </row>
    <row r="6" spans="1:23" ht="11.4" customHeight="1" x14ac:dyDescent="0.2">
      <c r="A6" s="241"/>
      <c r="O6" s="221"/>
      <c r="V6" s="68"/>
    </row>
    <row r="7" spans="1:23" ht="14.25" customHeight="1" x14ac:dyDescent="0.2">
      <c r="A7" s="241" t="s">
        <v>173</v>
      </c>
      <c r="B7" s="620">
        <v>535</v>
      </c>
      <c r="D7" s="620">
        <v>525</v>
      </c>
      <c r="E7" s="97"/>
      <c r="F7" s="620">
        <v>525</v>
      </c>
      <c r="G7" s="97"/>
      <c r="H7" s="621">
        <f>F7-D7</f>
        <v>0</v>
      </c>
      <c r="I7" s="96">
        <f>F7-B7</f>
        <v>-10</v>
      </c>
      <c r="J7" s="620">
        <v>560</v>
      </c>
      <c r="K7" s="97"/>
      <c r="L7" s="620">
        <v>560</v>
      </c>
      <c r="M7" s="97"/>
      <c r="N7" s="621">
        <f>L7-J7</f>
        <v>0</v>
      </c>
      <c r="O7" s="221">
        <f>L7-F7</f>
        <v>35</v>
      </c>
      <c r="P7" s="156"/>
      <c r="V7" s="68"/>
    </row>
    <row r="8" spans="1:23" ht="14.25" customHeight="1" x14ac:dyDescent="0.2">
      <c r="A8" s="241" t="s">
        <v>403</v>
      </c>
      <c r="B8" s="620">
        <v>225</v>
      </c>
      <c r="D8" s="620">
        <v>275</v>
      </c>
      <c r="E8" s="97"/>
      <c r="F8" s="620">
        <v>275</v>
      </c>
      <c r="G8" s="97"/>
      <c r="H8" s="621">
        <f t="shared" ref="H8" si="0">F8-D8</f>
        <v>0</v>
      </c>
      <c r="I8" s="111">
        <f t="shared" ref="I8" si="1">F8-B8</f>
        <v>50</v>
      </c>
      <c r="J8" s="620">
        <v>300</v>
      </c>
      <c r="K8" s="97"/>
      <c r="L8" s="620">
        <v>300</v>
      </c>
      <c r="M8" s="97"/>
      <c r="N8" s="621">
        <f t="shared" ref="N8:N72" si="2">L8-J8</f>
        <v>0</v>
      </c>
      <c r="O8" s="242">
        <f>L8-F8</f>
        <v>25</v>
      </c>
      <c r="P8" s="156"/>
      <c r="V8" s="68"/>
    </row>
    <row r="9" spans="1:23" ht="12" customHeight="1" x14ac:dyDescent="0.2">
      <c r="A9" s="241" t="s">
        <v>278</v>
      </c>
      <c r="B9" s="620">
        <v>325</v>
      </c>
      <c r="D9" s="620">
        <v>400</v>
      </c>
      <c r="E9" s="97"/>
      <c r="F9" s="620">
        <v>450</v>
      </c>
      <c r="G9" s="97"/>
      <c r="H9" s="621">
        <f t="shared" ref="H9:H78" si="3">F9-D9</f>
        <v>50</v>
      </c>
      <c r="I9" s="111">
        <f t="shared" ref="I9:I76" si="4">F9-B9</f>
        <v>125</v>
      </c>
      <c r="J9" s="620">
        <v>450</v>
      </c>
      <c r="K9" s="97"/>
      <c r="L9" s="620">
        <v>550</v>
      </c>
      <c r="M9" s="97"/>
      <c r="N9" s="621">
        <f t="shared" si="2"/>
        <v>100</v>
      </c>
      <c r="O9" s="242">
        <f t="shared" ref="O9:O76" si="5">L9-F9</f>
        <v>100</v>
      </c>
      <c r="P9" s="156"/>
      <c r="V9" s="68"/>
    </row>
    <row r="10" spans="1:23" ht="12.9" customHeight="1" x14ac:dyDescent="0.2">
      <c r="A10" s="241" t="s">
        <v>175</v>
      </c>
      <c r="B10" s="620">
        <v>221</v>
      </c>
      <c r="C10" s="111"/>
      <c r="D10" s="620">
        <v>225</v>
      </c>
      <c r="E10" s="97"/>
      <c r="F10" s="620">
        <v>225</v>
      </c>
      <c r="G10" s="97"/>
      <c r="H10" s="621">
        <f t="shared" si="3"/>
        <v>0</v>
      </c>
      <c r="I10" s="111">
        <f t="shared" si="4"/>
        <v>4</v>
      </c>
      <c r="J10" s="620">
        <v>225</v>
      </c>
      <c r="K10" s="97"/>
      <c r="L10" s="620">
        <v>225</v>
      </c>
      <c r="M10" s="97"/>
      <c r="N10" s="621">
        <f t="shared" si="2"/>
        <v>0</v>
      </c>
      <c r="O10" s="242">
        <f t="shared" si="5"/>
        <v>0</v>
      </c>
      <c r="P10" s="156"/>
      <c r="V10" s="68"/>
    </row>
    <row r="11" spans="1:23" ht="12.75" customHeight="1" x14ac:dyDescent="0.2">
      <c r="A11" s="243" t="s">
        <v>176</v>
      </c>
      <c r="B11" s="620">
        <v>365</v>
      </c>
      <c r="D11" s="620">
        <v>100</v>
      </c>
      <c r="E11" s="97"/>
      <c r="F11" s="620">
        <v>220</v>
      </c>
      <c r="G11" s="97"/>
      <c r="H11" s="621">
        <f t="shared" si="3"/>
        <v>120</v>
      </c>
      <c r="I11" s="96">
        <f t="shared" si="4"/>
        <v>-145</v>
      </c>
      <c r="J11" s="620">
        <v>500</v>
      </c>
      <c r="K11" s="97"/>
      <c r="L11" s="620">
        <v>600</v>
      </c>
      <c r="M11" s="97"/>
      <c r="N11" s="621">
        <f t="shared" si="2"/>
        <v>100</v>
      </c>
      <c r="O11" s="221">
        <f t="shared" si="5"/>
        <v>380</v>
      </c>
      <c r="P11" s="156"/>
      <c r="V11" s="68"/>
    </row>
    <row r="12" spans="1:23" ht="12.75" customHeight="1" x14ac:dyDescent="0.2">
      <c r="A12" s="243" t="s">
        <v>264</v>
      </c>
      <c r="B12" s="620">
        <v>450</v>
      </c>
      <c r="D12" s="620">
        <v>375</v>
      </c>
      <c r="E12" s="97"/>
      <c r="F12" s="620">
        <v>500</v>
      </c>
      <c r="G12" s="97"/>
      <c r="H12" s="621">
        <f t="shared" si="3"/>
        <v>125</v>
      </c>
      <c r="I12" s="96">
        <f t="shared" si="4"/>
        <v>50</v>
      </c>
      <c r="J12" s="620">
        <v>450</v>
      </c>
      <c r="K12" s="97"/>
      <c r="L12" s="620">
        <v>550</v>
      </c>
      <c r="M12" s="97"/>
      <c r="N12" s="621">
        <f t="shared" si="2"/>
        <v>100</v>
      </c>
      <c r="O12" s="221">
        <f t="shared" si="5"/>
        <v>50</v>
      </c>
      <c r="P12" s="156"/>
      <c r="V12" s="68"/>
    </row>
    <row r="13" spans="1:23" ht="12.75" customHeight="1" x14ac:dyDescent="0.2">
      <c r="A13" s="243" t="s">
        <v>177</v>
      </c>
      <c r="B13" s="620">
        <v>982</v>
      </c>
      <c r="D13" s="620">
        <v>1100</v>
      </c>
      <c r="E13" s="97"/>
      <c r="F13" s="620">
        <v>1100</v>
      </c>
      <c r="G13" s="97"/>
      <c r="H13" s="621">
        <f t="shared" si="3"/>
        <v>0</v>
      </c>
      <c r="I13" s="96">
        <f t="shared" si="4"/>
        <v>118</v>
      </c>
      <c r="J13" s="620">
        <v>950</v>
      </c>
      <c r="K13" s="97"/>
      <c r="L13" s="620">
        <v>950</v>
      </c>
      <c r="M13" s="97"/>
      <c r="N13" s="621">
        <f t="shared" si="2"/>
        <v>0</v>
      </c>
      <c r="O13" s="221">
        <f t="shared" si="5"/>
        <v>-150</v>
      </c>
      <c r="P13" s="156"/>
      <c r="V13" s="68"/>
    </row>
    <row r="14" spans="1:23" ht="12.75" customHeight="1" x14ac:dyDescent="0.2">
      <c r="A14" s="243" t="s">
        <v>460</v>
      </c>
      <c r="B14" s="620">
        <v>767</v>
      </c>
      <c r="D14" s="620">
        <v>850</v>
      </c>
      <c r="E14" s="97"/>
      <c r="F14" s="620">
        <v>850</v>
      </c>
      <c r="G14" s="97"/>
      <c r="H14" s="621">
        <f t="shared" si="3"/>
        <v>0</v>
      </c>
      <c r="I14" s="96">
        <f t="shared" si="4"/>
        <v>83</v>
      </c>
      <c r="J14" s="620">
        <v>850</v>
      </c>
      <c r="K14" s="97"/>
      <c r="L14" s="620">
        <v>850</v>
      </c>
      <c r="M14" s="97"/>
      <c r="N14" s="621">
        <f t="shared" si="2"/>
        <v>0</v>
      </c>
      <c r="O14" s="221">
        <f t="shared" si="5"/>
        <v>0</v>
      </c>
      <c r="P14" s="156"/>
      <c r="V14" s="68"/>
    </row>
    <row r="15" spans="1:23" ht="12.75" customHeight="1" x14ac:dyDescent="0.2">
      <c r="A15" s="243" t="s">
        <v>258</v>
      </c>
      <c r="B15" s="620">
        <v>360</v>
      </c>
      <c r="D15" s="620">
        <v>650</v>
      </c>
      <c r="E15" s="97"/>
      <c r="F15" s="620">
        <v>700</v>
      </c>
      <c r="G15" s="97"/>
      <c r="H15" s="621">
        <f t="shared" si="3"/>
        <v>50</v>
      </c>
      <c r="I15" s="96">
        <f t="shared" si="4"/>
        <v>340</v>
      </c>
      <c r="J15" s="620">
        <v>600</v>
      </c>
      <c r="K15" s="97"/>
      <c r="L15" s="620">
        <v>750</v>
      </c>
      <c r="M15" s="97"/>
      <c r="N15" s="621">
        <f t="shared" si="2"/>
        <v>150</v>
      </c>
      <c r="O15" s="221">
        <f t="shared" si="5"/>
        <v>50</v>
      </c>
      <c r="P15" s="156"/>
      <c r="V15" s="68"/>
    </row>
    <row r="16" spans="1:23" ht="12.75" customHeight="1" x14ac:dyDescent="0.2">
      <c r="A16" s="243" t="s">
        <v>243</v>
      </c>
      <c r="B16" s="620">
        <v>473</v>
      </c>
      <c r="D16" s="620">
        <v>475</v>
      </c>
      <c r="E16" s="97"/>
      <c r="F16" s="620">
        <v>450</v>
      </c>
      <c r="G16" s="97"/>
      <c r="H16" s="621">
        <f t="shared" si="3"/>
        <v>-25</v>
      </c>
      <c r="I16" s="96">
        <f t="shared" si="4"/>
        <v>-23</v>
      </c>
      <c r="J16" s="620">
        <v>500</v>
      </c>
      <c r="K16" s="97"/>
      <c r="L16" s="620">
        <v>500</v>
      </c>
      <c r="M16" s="97"/>
      <c r="N16" s="621">
        <f t="shared" si="2"/>
        <v>0</v>
      </c>
      <c r="O16" s="221">
        <f t="shared" si="5"/>
        <v>50</v>
      </c>
      <c r="P16" s="156"/>
      <c r="V16" s="68"/>
    </row>
    <row r="17" spans="1:22" ht="12.75" customHeight="1" x14ac:dyDescent="0.2">
      <c r="A17" s="243" t="s">
        <v>418</v>
      </c>
      <c r="B17" s="620">
        <v>206</v>
      </c>
      <c r="D17" s="620">
        <v>190</v>
      </c>
      <c r="E17" s="97"/>
      <c r="F17" s="620">
        <v>190</v>
      </c>
      <c r="G17" s="97"/>
      <c r="H17" s="621">
        <f t="shared" ref="H17" si="6">F17-D17</f>
        <v>0</v>
      </c>
      <c r="I17" s="96">
        <f t="shared" ref="I17" si="7">F17-B17</f>
        <v>-16</v>
      </c>
      <c r="J17" s="620">
        <v>180</v>
      </c>
      <c r="K17" s="97"/>
      <c r="L17" s="620">
        <v>180</v>
      </c>
      <c r="M17" s="97"/>
      <c r="N17" s="621">
        <f t="shared" si="2"/>
        <v>0</v>
      </c>
      <c r="O17" s="221">
        <f t="shared" ref="O17" si="8">L17-F17</f>
        <v>-10</v>
      </c>
      <c r="P17" s="156"/>
      <c r="V17" s="68"/>
    </row>
    <row r="18" spans="1:22" ht="12.75" customHeight="1" x14ac:dyDescent="0.2">
      <c r="A18" s="243" t="s">
        <v>180</v>
      </c>
      <c r="B18" s="620">
        <v>2597</v>
      </c>
      <c r="D18" s="620">
        <v>1500</v>
      </c>
      <c r="E18" s="97"/>
      <c r="F18" s="620">
        <v>1500</v>
      </c>
      <c r="G18" s="97"/>
      <c r="H18" s="621">
        <f t="shared" si="3"/>
        <v>0</v>
      </c>
      <c r="I18" s="96">
        <f t="shared" si="4"/>
        <v>-1097</v>
      </c>
      <c r="J18" s="620">
        <v>1500</v>
      </c>
      <c r="K18" s="97"/>
      <c r="L18" s="620">
        <v>2000</v>
      </c>
      <c r="M18" s="97"/>
      <c r="N18" s="621">
        <f t="shared" si="2"/>
        <v>500</v>
      </c>
      <c r="O18" s="221">
        <f t="shared" si="5"/>
        <v>500</v>
      </c>
      <c r="P18" s="156"/>
      <c r="V18" s="68"/>
    </row>
    <row r="19" spans="1:22" ht="12.75" customHeight="1" x14ac:dyDescent="0.2">
      <c r="A19" s="243" t="s">
        <v>181</v>
      </c>
      <c r="B19" s="620">
        <v>124</v>
      </c>
      <c r="D19" s="620">
        <v>180</v>
      </c>
      <c r="E19" s="97"/>
      <c r="F19" s="620">
        <v>180</v>
      </c>
      <c r="G19" s="97"/>
      <c r="H19" s="621">
        <f t="shared" si="3"/>
        <v>0</v>
      </c>
      <c r="I19" s="96">
        <f t="shared" si="4"/>
        <v>56</v>
      </c>
      <c r="J19" s="620">
        <v>180</v>
      </c>
      <c r="K19" s="97"/>
      <c r="L19" s="620">
        <v>180</v>
      </c>
      <c r="M19" s="97"/>
      <c r="N19" s="621">
        <f t="shared" si="2"/>
        <v>0</v>
      </c>
      <c r="O19" s="221">
        <f t="shared" si="5"/>
        <v>0</v>
      </c>
      <c r="P19" s="156"/>
      <c r="V19" s="68"/>
    </row>
    <row r="20" spans="1:22" ht="12.75" customHeight="1" x14ac:dyDescent="0.2">
      <c r="A20" s="243" t="s">
        <v>318</v>
      </c>
      <c r="B20" s="620">
        <v>195</v>
      </c>
      <c r="D20" s="620">
        <v>250</v>
      </c>
      <c r="E20" s="97"/>
      <c r="F20" s="620">
        <v>250</v>
      </c>
      <c r="G20" s="97"/>
      <c r="H20" s="621">
        <f t="shared" si="3"/>
        <v>0</v>
      </c>
      <c r="I20" s="96">
        <f t="shared" si="4"/>
        <v>55</v>
      </c>
      <c r="J20" s="620">
        <v>250</v>
      </c>
      <c r="K20" s="97"/>
      <c r="L20" s="620">
        <v>250</v>
      </c>
      <c r="M20" s="97"/>
      <c r="N20" s="621">
        <f t="shared" si="2"/>
        <v>0</v>
      </c>
      <c r="O20" s="221">
        <f t="shared" si="5"/>
        <v>0</v>
      </c>
      <c r="P20" s="156"/>
      <c r="V20" s="68"/>
    </row>
    <row r="21" spans="1:22" ht="12.75" customHeight="1" x14ac:dyDescent="0.2">
      <c r="A21" s="243" t="s">
        <v>272</v>
      </c>
      <c r="B21" s="620">
        <v>224</v>
      </c>
      <c r="D21" s="620">
        <v>200</v>
      </c>
      <c r="E21" s="97"/>
      <c r="F21" s="620">
        <v>200</v>
      </c>
      <c r="G21" s="97"/>
      <c r="H21" s="621">
        <f t="shared" si="3"/>
        <v>0</v>
      </c>
      <c r="I21" s="96">
        <f t="shared" si="4"/>
        <v>-24</v>
      </c>
      <c r="J21" s="620">
        <v>225</v>
      </c>
      <c r="K21" s="97"/>
      <c r="L21" s="620">
        <v>225</v>
      </c>
      <c r="M21" s="97"/>
      <c r="N21" s="621">
        <f t="shared" si="2"/>
        <v>0</v>
      </c>
      <c r="O21" s="221">
        <f t="shared" si="5"/>
        <v>25</v>
      </c>
      <c r="P21" s="156"/>
      <c r="V21" s="68"/>
    </row>
    <row r="22" spans="1:22" ht="12.75" customHeight="1" x14ac:dyDescent="0.2">
      <c r="A22" s="241" t="s">
        <v>182</v>
      </c>
      <c r="B22" s="620">
        <v>1313</v>
      </c>
      <c r="D22" s="620">
        <v>1450</v>
      </c>
      <c r="E22" s="97"/>
      <c r="F22" s="620">
        <v>1550</v>
      </c>
      <c r="G22" s="97"/>
      <c r="H22" s="621">
        <f t="shared" si="3"/>
        <v>100</v>
      </c>
      <c r="I22" s="96">
        <f t="shared" si="4"/>
        <v>237</v>
      </c>
      <c r="J22" s="620">
        <v>1500</v>
      </c>
      <c r="K22" s="97"/>
      <c r="L22" s="620">
        <v>1600</v>
      </c>
      <c r="M22" s="97"/>
      <c r="N22" s="621">
        <f t="shared" si="2"/>
        <v>100</v>
      </c>
      <c r="O22" s="221">
        <f t="shared" si="5"/>
        <v>50</v>
      </c>
      <c r="P22" s="156"/>
    </row>
    <row r="23" spans="1:22" ht="12.75" customHeight="1" x14ac:dyDescent="0.2">
      <c r="A23" s="241" t="s">
        <v>183</v>
      </c>
      <c r="B23" s="620">
        <v>470</v>
      </c>
      <c r="D23" s="620">
        <v>450</v>
      </c>
      <c r="E23" s="97"/>
      <c r="F23" s="620">
        <v>450</v>
      </c>
      <c r="G23" s="97"/>
      <c r="H23" s="621">
        <f t="shared" si="3"/>
        <v>0</v>
      </c>
      <c r="I23" s="96">
        <f t="shared" si="4"/>
        <v>-20</v>
      </c>
      <c r="J23" s="620">
        <v>400</v>
      </c>
      <c r="K23" s="97"/>
      <c r="L23" s="620">
        <v>400</v>
      </c>
      <c r="M23" s="97"/>
      <c r="N23" s="621">
        <f t="shared" si="2"/>
        <v>0</v>
      </c>
      <c r="O23" s="221">
        <f t="shared" si="5"/>
        <v>-50</v>
      </c>
      <c r="P23" s="156"/>
    </row>
    <row r="24" spans="1:22" ht="12.75" customHeight="1" x14ac:dyDescent="0.2">
      <c r="A24" s="241" t="s">
        <v>184</v>
      </c>
      <c r="B24" s="620">
        <v>38</v>
      </c>
      <c r="D24" s="620">
        <v>120</v>
      </c>
      <c r="E24" s="97"/>
      <c r="F24" s="620">
        <v>120</v>
      </c>
      <c r="G24" s="97"/>
      <c r="H24" s="621">
        <f t="shared" si="3"/>
        <v>0</v>
      </c>
      <c r="I24" s="96">
        <f t="shared" si="4"/>
        <v>82</v>
      </c>
      <c r="J24" s="620">
        <v>50</v>
      </c>
      <c r="K24" s="97"/>
      <c r="L24" s="620">
        <v>50</v>
      </c>
      <c r="M24" s="97"/>
      <c r="N24" s="621">
        <f t="shared" si="2"/>
        <v>0</v>
      </c>
      <c r="O24" s="221">
        <f t="shared" si="5"/>
        <v>-70</v>
      </c>
      <c r="P24" s="156"/>
    </row>
    <row r="25" spans="1:22" x14ac:dyDescent="0.2">
      <c r="A25" s="241" t="s">
        <v>185</v>
      </c>
      <c r="B25" s="620">
        <v>343</v>
      </c>
      <c r="D25" s="620">
        <v>250</v>
      </c>
      <c r="E25" s="97"/>
      <c r="F25" s="620">
        <v>200</v>
      </c>
      <c r="G25" s="97"/>
      <c r="H25" s="621">
        <f t="shared" si="3"/>
        <v>-50</v>
      </c>
      <c r="I25" s="96">
        <f t="shared" si="4"/>
        <v>-143</v>
      </c>
      <c r="J25" s="620">
        <v>400</v>
      </c>
      <c r="K25" s="97"/>
      <c r="L25" s="620">
        <v>250</v>
      </c>
      <c r="M25" s="97"/>
      <c r="N25" s="621">
        <f t="shared" si="2"/>
        <v>-150</v>
      </c>
      <c r="O25" s="221">
        <f t="shared" si="5"/>
        <v>50</v>
      </c>
      <c r="P25" s="156"/>
    </row>
    <row r="26" spans="1:22" x14ac:dyDescent="0.2">
      <c r="A26" s="241" t="s">
        <v>379</v>
      </c>
      <c r="B26" s="620">
        <v>86</v>
      </c>
      <c r="D26" s="620">
        <v>100</v>
      </c>
      <c r="E26" s="97"/>
      <c r="F26" s="620">
        <v>100</v>
      </c>
      <c r="G26" s="97"/>
      <c r="H26" s="621">
        <f t="shared" ref="H26" si="9">F26-D26</f>
        <v>0</v>
      </c>
      <c r="I26" s="96">
        <f t="shared" ref="I26" si="10">F26-B26</f>
        <v>14</v>
      </c>
      <c r="J26" s="620">
        <v>100</v>
      </c>
      <c r="K26" s="97"/>
      <c r="L26" s="620">
        <v>100</v>
      </c>
      <c r="M26" s="97"/>
      <c r="N26" s="621">
        <f t="shared" si="2"/>
        <v>0</v>
      </c>
      <c r="O26" s="221">
        <f t="shared" ref="O26" si="11">L26-F26</f>
        <v>0</v>
      </c>
      <c r="P26" s="156"/>
    </row>
    <row r="27" spans="1:22" ht="12.75" customHeight="1" x14ac:dyDescent="0.2">
      <c r="A27" s="241" t="s">
        <v>255</v>
      </c>
      <c r="B27" s="620">
        <v>443</v>
      </c>
      <c r="D27" s="620">
        <v>550</v>
      </c>
      <c r="E27" s="97"/>
      <c r="F27" s="620">
        <v>525</v>
      </c>
      <c r="G27" s="97"/>
      <c r="H27" s="621">
        <f t="shared" si="3"/>
        <v>-25</v>
      </c>
      <c r="I27" s="96">
        <f t="shared" si="4"/>
        <v>82</v>
      </c>
      <c r="J27" s="620">
        <v>550</v>
      </c>
      <c r="K27" s="97"/>
      <c r="L27" s="620">
        <v>550</v>
      </c>
      <c r="M27" s="97"/>
      <c r="N27" s="621">
        <f t="shared" si="2"/>
        <v>0</v>
      </c>
      <c r="O27" s="221">
        <f t="shared" si="5"/>
        <v>25</v>
      </c>
      <c r="P27" s="156"/>
    </row>
    <row r="28" spans="1:22" ht="12.75" customHeight="1" x14ac:dyDescent="0.2">
      <c r="A28" s="241" t="s">
        <v>186</v>
      </c>
      <c r="B28" s="620">
        <v>2170</v>
      </c>
      <c r="D28" s="620">
        <v>2200</v>
      </c>
      <c r="E28" s="97"/>
      <c r="F28" s="620">
        <v>2200</v>
      </c>
      <c r="G28" s="97"/>
      <c r="H28" s="621">
        <f t="shared" si="3"/>
        <v>0</v>
      </c>
      <c r="I28" s="96">
        <f t="shared" si="4"/>
        <v>30</v>
      </c>
      <c r="J28" s="620">
        <v>2200</v>
      </c>
      <c r="K28" s="97"/>
      <c r="L28" s="620">
        <v>2200</v>
      </c>
      <c r="M28" s="97"/>
      <c r="N28" s="621">
        <f t="shared" si="2"/>
        <v>0</v>
      </c>
      <c r="O28" s="221">
        <f t="shared" si="5"/>
        <v>0</v>
      </c>
      <c r="P28" s="156"/>
    </row>
    <row r="29" spans="1:22" ht="12.75" customHeight="1" x14ac:dyDescent="0.2">
      <c r="A29" s="241" t="s">
        <v>275</v>
      </c>
      <c r="B29" s="620">
        <v>270</v>
      </c>
      <c r="D29" s="620">
        <v>225</v>
      </c>
      <c r="E29" s="97"/>
      <c r="F29" s="620">
        <v>225</v>
      </c>
      <c r="G29" s="97"/>
      <c r="H29" s="621">
        <f t="shared" si="3"/>
        <v>0</v>
      </c>
      <c r="I29" s="96">
        <f t="shared" si="4"/>
        <v>-45</v>
      </c>
      <c r="J29" s="620">
        <v>250</v>
      </c>
      <c r="K29" s="97"/>
      <c r="L29" s="620">
        <v>250</v>
      </c>
      <c r="M29" s="97"/>
      <c r="N29" s="621">
        <f t="shared" si="2"/>
        <v>0</v>
      </c>
      <c r="O29" s="221">
        <f t="shared" si="5"/>
        <v>25</v>
      </c>
      <c r="P29" s="156"/>
    </row>
    <row r="30" spans="1:22" ht="12.75" customHeight="1" x14ac:dyDescent="0.2">
      <c r="A30" s="241" t="s">
        <v>187</v>
      </c>
      <c r="B30" s="620">
        <v>810</v>
      </c>
      <c r="D30" s="620">
        <v>825</v>
      </c>
      <c r="E30" s="97"/>
      <c r="F30" s="620">
        <v>825</v>
      </c>
      <c r="G30" s="97"/>
      <c r="H30" s="621">
        <f t="shared" si="3"/>
        <v>0</v>
      </c>
      <c r="I30" s="96">
        <f t="shared" si="4"/>
        <v>15</v>
      </c>
      <c r="J30" s="620">
        <v>900</v>
      </c>
      <c r="K30" s="97"/>
      <c r="L30" s="620">
        <v>900</v>
      </c>
      <c r="M30" s="97"/>
      <c r="N30" s="621">
        <f t="shared" si="2"/>
        <v>0</v>
      </c>
      <c r="O30" s="221">
        <f t="shared" si="5"/>
        <v>75</v>
      </c>
      <c r="P30" s="156"/>
    </row>
    <row r="31" spans="1:22" ht="12.75" customHeight="1" x14ac:dyDescent="0.2">
      <c r="A31" s="241" t="s">
        <v>261</v>
      </c>
      <c r="B31" s="620">
        <v>111</v>
      </c>
      <c r="D31" s="620">
        <v>140</v>
      </c>
      <c r="E31" s="97"/>
      <c r="F31" s="620">
        <v>140</v>
      </c>
      <c r="G31" s="97"/>
      <c r="H31" s="621">
        <f t="shared" si="3"/>
        <v>0</v>
      </c>
      <c r="I31" s="96">
        <f t="shared" si="4"/>
        <v>29</v>
      </c>
      <c r="J31" s="620">
        <v>145</v>
      </c>
      <c r="K31" s="97"/>
      <c r="L31" s="620">
        <v>145</v>
      </c>
      <c r="M31" s="97"/>
      <c r="N31" s="621">
        <f t="shared" si="2"/>
        <v>0</v>
      </c>
      <c r="O31" s="221">
        <f t="shared" si="5"/>
        <v>5</v>
      </c>
      <c r="P31" s="156"/>
    </row>
    <row r="32" spans="1:22" ht="12.75" customHeight="1" x14ac:dyDescent="0.2">
      <c r="A32" s="241" t="s">
        <v>188</v>
      </c>
      <c r="B32" s="620">
        <v>870</v>
      </c>
      <c r="D32" s="620">
        <v>1000</v>
      </c>
      <c r="E32" s="97"/>
      <c r="F32" s="620">
        <v>1000</v>
      </c>
      <c r="G32" s="97"/>
      <c r="H32" s="621">
        <f t="shared" si="3"/>
        <v>0</v>
      </c>
      <c r="I32" s="96">
        <f t="shared" si="4"/>
        <v>130</v>
      </c>
      <c r="J32" s="620">
        <v>1000</v>
      </c>
      <c r="K32" s="97"/>
      <c r="L32" s="620">
        <v>1000</v>
      </c>
      <c r="M32" s="97"/>
      <c r="N32" s="621">
        <f t="shared" si="2"/>
        <v>0</v>
      </c>
      <c r="O32" s="221">
        <f t="shared" si="5"/>
        <v>0</v>
      </c>
      <c r="P32" s="156"/>
    </row>
    <row r="33" spans="1:16" ht="12.75" customHeight="1" x14ac:dyDescent="0.2">
      <c r="A33" s="241" t="s">
        <v>419</v>
      </c>
      <c r="B33" s="620">
        <v>120</v>
      </c>
      <c r="D33" s="620">
        <v>125</v>
      </c>
      <c r="E33" s="97"/>
      <c r="F33" s="620">
        <v>125</v>
      </c>
      <c r="G33" s="97"/>
      <c r="H33" s="621">
        <f t="shared" ref="H33" si="12">F33-D33</f>
        <v>0</v>
      </c>
      <c r="I33" s="96">
        <f t="shared" ref="I33" si="13">F33-B33</f>
        <v>5</v>
      </c>
      <c r="J33" s="620">
        <v>125</v>
      </c>
      <c r="K33" s="97"/>
      <c r="L33" s="620">
        <v>125</v>
      </c>
      <c r="M33" s="97"/>
      <c r="N33" s="621">
        <f t="shared" si="2"/>
        <v>0</v>
      </c>
      <c r="O33" s="221">
        <f t="shared" ref="O33" si="14">L33-F33</f>
        <v>0</v>
      </c>
      <c r="P33" s="156"/>
    </row>
    <row r="34" spans="1:16" ht="12.75" customHeight="1" x14ac:dyDescent="0.2">
      <c r="A34" s="241" t="s">
        <v>242</v>
      </c>
      <c r="B34" s="620">
        <v>527</v>
      </c>
      <c r="D34" s="620">
        <v>460</v>
      </c>
      <c r="E34" s="97"/>
      <c r="F34" s="620">
        <v>460</v>
      </c>
      <c r="G34" s="97"/>
      <c r="H34" s="621">
        <f t="shared" si="3"/>
        <v>0</v>
      </c>
      <c r="I34" s="96">
        <f t="shared" si="4"/>
        <v>-67</v>
      </c>
      <c r="J34" s="620">
        <v>480</v>
      </c>
      <c r="K34" s="97"/>
      <c r="L34" s="620">
        <v>480</v>
      </c>
      <c r="M34" s="97"/>
      <c r="N34" s="621">
        <f t="shared" si="2"/>
        <v>0</v>
      </c>
      <c r="O34" s="221">
        <f t="shared" si="5"/>
        <v>20</v>
      </c>
      <c r="P34" s="156"/>
    </row>
    <row r="35" spans="1:16" ht="12.75" customHeight="1" x14ac:dyDescent="0.2">
      <c r="A35" s="241" t="s">
        <v>241</v>
      </c>
      <c r="B35" s="620">
        <v>166</v>
      </c>
      <c r="D35" s="620">
        <v>150</v>
      </c>
      <c r="E35" s="97"/>
      <c r="F35" s="620">
        <v>150</v>
      </c>
      <c r="G35" s="97"/>
      <c r="H35" s="621">
        <f t="shared" si="3"/>
        <v>0</v>
      </c>
      <c r="I35" s="96">
        <f t="shared" si="4"/>
        <v>-16</v>
      </c>
      <c r="J35" s="620">
        <v>155</v>
      </c>
      <c r="K35" s="97"/>
      <c r="L35" s="620">
        <v>155</v>
      </c>
      <c r="M35" s="97"/>
      <c r="N35" s="621">
        <f t="shared" si="2"/>
        <v>0</v>
      </c>
      <c r="O35" s="221">
        <f t="shared" si="5"/>
        <v>5</v>
      </c>
      <c r="P35" s="156"/>
    </row>
    <row r="36" spans="1:16" ht="12.75" customHeight="1" x14ac:dyDescent="0.2">
      <c r="A36" s="241" t="s">
        <v>240</v>
      </c>
      <c r="B36" s="620">
        <v>270</v>
      </c>
      <c r="D36" s="620">
        <v>310</v>
      </c>
      <c r="E36" s="97"/>
      <c r="F36" s="620">
        <v>310</v>
      </c>
      <c r="G36" s="97"/>
      <c r="H36" s="621">
        <f t="shared" si="3"/>
        <v>0</v>
      </c>
      <c r="I36" s="96">
        <f t="shared" si="4"/>
        <v>40</v>
      </c>
      <c r="J36" s="620">
        <v>310</v>
      </c>
      <c r="K36" s="97"/>
      <c r="L36" s="620">
        <v>310</v>
      </c>
      <c r="M36" s="97"/>
      <c r="N36" s="621">
        <f t="shared" si="2"/>
        <v>0</v>
      </c>
      <c r="O36" s="221">
        <f t="shared" si="5"/>
        <v>0</v>
      </c>
      <c r="P36" s="156"/>
    </row>
    <row r="37" spans="1:16" ht="12.75" customHeight="1" x14ac:dyDescent="0.2">
      <c r="A37" s="241" t="s">
        <v>191</v>
      </c>
      <c r="B37" s="620">
        <v>3500</v>
      </c>
      <c r="D37" s="620">
        <v>3800</v>
      </c>
      <c r="E37" s="97"/>
      <c r="F37" s="620">
        <v>3800</v>
      </c>
      <c r="G37" s="97"/>
      <c r="H37" s="621">
        <f t="shared" si="3"/>
        <v>0</v>
      </c>
      <c r="I37" s="96">
        <f t="shared" si="4"/>
        <v>300</v>
      </c>
      <c r="J37" s="620">
        <v>1500</v>
      </c>
      <c r="K37" s="97"/>
      <c r="L37" s="620">
        <v>1500</v>
      </c>
      <c r="M37" s="97"/>
      <c r="N37" s="621">
        <f t="shared" si="2"/>
        <v>0</v>
      </c>
      <c r="O37" s="221">
        <f t="shared" si="5"/>
        <v>-2300</v>
      </c>
      <c r="P37" s="156"/>
    </row>
    <row r="38" spans="1:16" ht="12.75" customHeight="1" x14ac:dyDescent="0.2">
      <c r="A38" s="241" t="s">
        <v>192</v>
      </c>
      <c r="B38" s="620">
        <v>751</v>
      </c>
      <c r="D38" s="620">
        <v>1000</v>
      </c>
      <c r="E38" s="97"/>
      <c r="F38" s="620">
        <v>900</v>
      </c>
      <c r="G38" s="97"/>
      <c r="H38" s="621">
        <f t="shared" si="3"/>
        <v>-100</v>
      </c>
      <c r="I38" s="96">
        <f t="shared" si="4"/>
        <v>149</v>
      </c>
      <c r="J38" s="620">
        <v>1100</v>
      </c>
      <c r="K38" s="97"/>
      <c r="L38" s="620">
        <v>1100</v>
      </c>
      <c r="M38" s="97"/>
      <c r="N38" s="621">
        <f t="shared" si="2"/>
        <v>0</v>
      </c>
      <c r="O38" s="221">
        <f t="shared" si="5"/>
        <v>200</v>
      </c>
      <c r="P38" s="156"/>
    </row>
    <row r="39" spans="1:16" ht="12.75" customHeight="1" x14ac:dyDescent="0.2">
      <c r="A39" s="243" t="s">
        <v>193</v>
      </c>
      <c r="B39" s="620">
        <v>1845</v>
      </c>
      <c r="D39" s="620">
        <v>2200</v>
      </c>
      <c r="E39" s="97"/>
      <c r="F39" s="620">
        <v>2200</v>
      </c>
      <c r="G39" s="97"/>
      <c r="H39" s="621">
        <f t="shared" si="3"/>
        <v>0</v>
      </c>
      <c r="I39" s="96">
        <f t="shared" si="4"/>
        <v>355</v>
      </c>
      <c r="J39" s="620">
        <v>1900</v>
      </c>
      <c r="K39" s="97"/>
      <c r="L39" s="620">
        <v>1900</v>
      </c>
      <c r="M39" s="97"/>
      <c r="N39" s="621">
        <f t="shared" si="2"/>
        <v>0</v>
      </c>
      <c r="O39" s="221">
        <f t="shared" si="5"/>
        <v>-300</v>
      </c>
      <c r="P39" s="156"/>
    </row>
    <row r="40" spans="1:16" ht="12.75" customHeight="1" x14ac:dyDescent="0.2">
      <c r="A40" s="243" t="s">
        <v>331</v>
      </c>
      <c r="B40" s="620">
        <v>147</v>
      </c>
      <c r="D40" s="620">
        <v>150</v>
      </c>
      <c r="E40" s="97"/>
      <c r="F40" s="620">
        <v>150</v>
      </c>
      <c r="G40" s="97"/>
      <c r="H40" s="621">
        <f t="shared" si="3"/>
        <v>0</v>
      </c>
      <c r="I40" s="96">
        <f t="shared" si="4"/>
        <v>3</v>
      </c>
      <c r="J40" s="620">
        <v>160</v>
      </c>
      <c r="K40" s="97"/>
      <c r="L40" s="620">
        <v>160</v>
      </c>
      <c r="M40" s="97"/>
      <c r="N40" s="621">
        <f t="shared" si="2"/>
        <v>0</v>
      </c>
      <c r="O40" s="221">
        <f t="shared" si="5"/>
        <v>10</v>
      </c>
      <c r="P40" s="156"/>
    </row>
    <row r="41" spans="1:16" ht="12.75" customHeight="1" x14ac:dyDescent="0.2">
      <c r="A41" s="243" t="s">
        <v>194</v>
      </c>
      <c r="B41" s="620">
        <v>709</v>
      </c>
      <c r="D41" s="620">
        <v>685</v>
      </c>
      <c r="E41" s="97"/>
      <c r="F41" s="620">
        <v>685</v>
      </c>
      <c r="G41" s="97"/>
      <c r="H41" s="621">
        <f t="shared" si="3"/>
        <v>0</v>
      </c>
      <c r="I41" s="96">
        <f t="shared" si="4"/>
        <v>-24</v>
      </c>
      <c r="J41" s="620">
        <v>690</v>
      </c>
      <c r="K41" s="97"/>
      <c r="L41" s="620">
        <v>690</v>
      </c>
      <c r="M41" s="97"/>
      <c r="N41" s="621">
        <f t="shared" si="2"/>
        <v>0</v>
      </c>
      <c r="O41" s="221">
        <f t="shared" si="5"/>
        <v>5</v>
      </c>
      <c r="P41" s="156"/>
    </row>
    <row r="42" spans="1:16" ht="12.75" customHeight="1" x14ac:dyDescent="0.2">
      <c r="A42" s="243" t="s">
        <v>239</v>
      </c>
      <c r="B42" s="620">
        <v>215</v>
      </c>
      <c r="D42" s="620">
        <v>200</v>
      </c>
      <c r="E42" s="97"/>
      <c r="F42" s="620">
        <v>200</v>
      </c>
      <c r="G42" s="97"/>
      <c r="H42" s="621">
        <f t="shared" si="3"/>
        <v>0</v>
      </c>
      <c r="I42" s="96">
        <f t="shared" si="4"/>
        <v>-15</v>
      </c>
      <c r="J42" s="620">
        <v>225</v>
      </c>
      <c r="K42" s="97"/>
      <c r="L42" s="620">
        <v>225</v>
      </c>
      <c r="M42" s="97"/>
      <c r="N42" s="621">
        <f t="shared" si="2"/>
        <v>0</v>
      </c>
      <c r="O42" s="221">
        <f t="shared" si="5"/>
        <v>25</v>
      </c>
      <c r="P42" s="156"/>
    </row>
    <row r="43" spans="1:16" ht="12.75" customHeight="1" x14ac:dyDescent="0.2">
      <c r="A43" s="243" t="s">
        <v>229</v>
      </c>
      <c r="B43" s="620">
        <v>109</v>
      </c>
      <c r="D43" s="620">
        <v>175</v>
      </c>
      <c r="E43" s="97"/>
      <c r="F43" s="620">
        <v>175</v>
      </c>
      <c r="G43" s="97"/>
      <c r="H43" s="621">
        <f t="shared" si="3"/>
        <v>0</v>
      </c>
      <c r="I43" s="96">
        <f t="shared" si="4"/>
        <v>66</v>
      </c>
      <c r="J43" s="620">
        <v>175</v>
      </c>
      <c r="K43" s="97"/>
      <c r="L43" s="620">
        <v>250</v>
      </c>
      <c r="M43" s="97"/>
      <c r="N43" s="621">
        <f t="shared" si="2"/>
        <v>75</v>
      </c>
      <c r="O43" s="221">
        <f t="shared" si="5"/>
        <v>75</v>
      </c>
      <c r="P43" s="156"/>
    </row>
    <row r="44" spans="1:16" ht="12.75" customHeight="1" x14ac:dyDescent="0.2">
      <c r="A44" s="243" t="s">
        <v>246</v>
      </c>
      <c r="B44" s="620">
        <v>936</v>
      </c>
      <c r="D44" s="620">
        <v>1000</v>
      </c>
      <c r="E44" s="97"/>
      <c r="F44" s="620">
        <v>900</v>
      </c>
      <c r="G44" s="97"/>
      <c r="H44" s="621">
        <f t="shared" si="3"/>
        <v>-100</v>
      </c>
      <c r="I44" s="96">
        <f t="shared" si="4"/>
        <v>-36</v>
      </c>
      <c r="J44" s="620">
        <v>800</v>
      </c>
      <c r="K44" s="97"/>
      <c r="L44" s="620">
        <v>900</v>
      </c>
      <c r="M44" s="97"/>
      <c r="N44" s="621">
        <f t="shared" si="2"/>
        <v>100</v>
      </c>
      <c r="O44" s="221">
        <f t="shared" si="5"/>
        <v>0</v>
      </c>
      <c r="P44" s="156"/>
    </row>
    <row r="45" spans="1:16" ht="12.75" customHeight="1" x14ac:dyDescent="0.2">
      <c r="A45" s="243" t="s">
        <v>195</v>
      </c>
      <c r="B45" s="620">
        <v>164</v>
      </c>
      <c r="D45" s="620">
        <v>110</v>
      </c>
      <c r="E45" s="97"/>
      <c r="F45" s="620">
        <v>110</v>
      </c>
      <c r="G45" s="97"/>
      <c r="H45" s="621">
        <f t="shared" si="3"/>
        <v>0</v>
      </c>
      <c r="I45" s="96">
        <f t="shared" si="4"/>
        <v>-54</v>
      </c>
      <c r="J45" s="620">
        <v>100</v>
      </c>
      <c r="K45" s="97"/>
      <c r="L45" s="620">
        <v>100</v>
      </c>
      <c r="M45" s="97"/>
      <c r="N45" s="621">
        <f t="shared" si="2"/>
        <v>0</v>
      </c>
      <c r="O45" s="221">
        <f t="shared" si="5"/>
        <v>-10</v>
      </c>
      <c r="P45" s="156"/>
    </row>
    <row r="46" spans="1:16" ht="12.75" customHeight="1" x14ac:dyDescent="0.2">
      <c r="A46" s="243" t="s">
        <v>196</v>
      </c>
      <c r="B46" s="620">
        <v>251</v>
      </c>
      <c r="D46" s="620">
        <v>460</v>
      </c>
      <c r="E46" s="97"/>
      <c r="F46" s="620">
        <v>375</v>
      </c>
      <c r="G46" s="97"/>
      <c r="H46" s="621">
        <f t="shared" si="3"/>
        <v>-85</v>
      </c>
      <c r="I46" s="96">
        <f t="shared" si="4"/>
        <v>124</v>
      </c>
      <c r="J46" s="620">
        <v>440</v>
      </c>
      <c r="K46" s="97"/>
      <c r="L46" s="620">
        <v>440</v>
      </c>
      <c r="M46" s="97"/>
      <c r="N46" s="621">
        <f t="shared" si="2"/>
        <v>0</v>
      </c>
      <c r="O46" s="221">
        <f t="shared" si="5"/>
        <v>65</v>
      </c>
      <c r="P46" s="156"/>
    </row>
    <row r="47" spans="1:16" ht="12.75" customHeight="1" x14ac:dyDescent="0.2">
      <c r="A47" s="243" t="s">
        <v>420</v>
      </c>
      <c r="B47" s="620">
        <v>219</v>
      </c>
      <c r="D47" s="620">
        <v>225</v>
      </c>
      <c r="E47" s="97"/>
      <c r="F47" s="620">
        <v>225</v>
      </c>
      <c r="G47" s="97"/>
      <c r="H47" s="621">
        <f t="shared" ref="H47" si="15">F47-D47</f>
        <v>0</v>
      </c>
      <c r="I47" s="96">
        <f t="shared" ref="I47" si="16">F47-B47</f>
        <v>6</v>
      </c>
      <c r="J47" s="620">
        <v>230</v>
      </c>
      <c r="K47" s="97"/>
      <c r="L47" s="620">
        <v>230</v>
      </c>
      <c r="M47" s="97"/>
      <c r="N47" s="621">
        <f t="shared" si="2"/>
        <v>0</v>
      </c>
      <c r="O47" s="221">
        <f t="shared" si="5"/>
        <v>5</v>
      </c>
      <c r="P47" s="156"/>
    </row>
    <row r="48" spans="1:16" ht="12.75" customHeight="1" x14ac:dyDescent="0.2">
      <c r="A48" s="243" t="s">
        <v>198</v>
      </c>
      <c r="B48" s="620">
        <v>330</v>
      </c>
      <c r="D48" s="620">
        <v>375</v>
      </c>
      <c r="E48" s="97"/>
      <c r="F48" s="620">
        <v>375</v>
      </c>
      <c r="G48" s="97"/>
      <c r="H48" s="621">
        <f t="shared" si="3"/>
        <v>0</v>
      </c>
      <c r="I48" s="96">
        <f t="shared" si="4"/>
        <v>45</v>
      </c>
      <c r="J48" s="620">
        <v>400</v>
      </c>
      <c r="K48" s="97"/>
      <c r="L48" s="620">
        <v>400</v>
      </c>
      <c r="M48" s="97"/>
      <c r="N48" s="621">
        <f t="shared" si="2"/>
        <v>0</v>
      </c>
      <c r="O48" s="221">
        <f t="shared" si="5"/>
        <v>25</v>
      </c>
      <c r="P48" s="156"/>
    </row>
    <row r="49" spans="1:16" ht="12.75" customHeight="1" x14ac:dyDescent="0.2">
      <c r="A49" s="243" t="s">
        <v>238</v>
      </c>
      <c r="B49" s="620">
        <v>80</v>
      </c>
      <c r="D49" s="620">
        <v>130</v>
      </c>
      <c r="E49" s="97"/>
      <c r="F49" s="620">
        <v>130</v>
      </c>
      <c r="G49" s="97"/>
      <c r="H49" s="621">
        <f t="shared" si="3"/>
        <v>0</v>
      </c>
      <c r="I49" s="96">
        <f t="shared" si="4"/>
        <v>50</v>
      </c>
      <c r="J49" s="620">
        <v>125</v>
      </c>
      <c r="K49" s="97"/>
      <c r="L49" s="620">
        <v>125</v>
      </c>
      <c r="M49" s="97"/>
      <c r="N49" s="621">
        <f t="shared" si="2"/>
        <v>0</v>
      </c>
      <c r="O49" s="221">
        <f t="shared" si="5"/>
        <v>-5</v>
      </c>
      <c r="P49" s="156"/>
    </row>
    <row r="50" spans="1:16" ht="12.75" customHeight="1" x14ac:dyDescent="0.2">
      <c r="A50" s="243" t="s">
        <v>199</v>
      </c>
      <c r="B50" s="620">
        <v>424</v>
      </c>
      <c r="D50" s="620">
        <v>275</v>
      </c>
      <c r="E50" s="97"/>
      <c r="F50" s="620">
        <v>325</v>
      </c>
      <c r="G50" s="97"/>
      <c r="H50" s="621">
        <f t="shared" si="3"/>
        <v>50</v>
      </c>
      <c r="I50" s="96">
        <f t="shared" si="4"/>
        <v>-99</v>
      </c>
      <c r="J50" s="620">
        <v>350</v>
      </c>
      <c r="K50" s="97"/>
      <c r="L50" s="620">
        <v>500</v>
      </c>
      <c r="M50" s="97"/>
      <c r="N50" s="621">
        <f t="shared" si="2"/>
        <v>150</v>
      </c>
      <c r="O50" s="221">
        <f t="shared" si="5"/>
        <v>175</v>
      </c>
      <c r="P50" s="156"/>
    </row>
    <row r="51" spans="1:16" ht="12.75" customHeight="1" x14ac:dyDescent="0.2">
      <c r="A51" s="243" t="s">
        <v>200</v>
      </c>
      <c r="B51" s="620">
        <v>1410</v>
      </c>
      <c r="D51" s="620">
        <v>1600</v>
      </c>
      <c r="E51" s="97"/>
      <c r="F51" s="620">
        <v>1800</v>
      </c>
      <c r="G51" s="97"/>
      <c r="H51" s="621">
        <f t="shared" si="3"/>
        <v>200</v>
      </c>
      <c r="I51" s="96">
        <f t="shared" si="4"/>
        <v>390</v>
      </c>
      <c r="J51" s="620">
        <v>1375</v>
      </c>
      <c r="K51" s="97"/>
      <c r="L51" s="620">
        <v>1500</v>
      </c>
      <c r="M51" s="97"/>
      <c r="N51" s="621">
        <f t="shared" si="2"/>
        <v>125</v>
      </c>
      <c r="O51" s="221">
        <f t="shared" si="5"/>
        <v>-300</v>
      </c>
      <c r="P51" s="156"/>
    </row>
    <row r="52" spans="1:16" ht="12.75" customHeight="1" x14ac:dyDescent="0.2">
      <c r="A52" s="243" t="s">
        <v>201</v>
      </c>
      <c r="B52" s="620">
        <v>400</v>
      </c>
      <c r="D52" s="620">
        <v>350</v>
      </c>
      <c r="E52" s="97"/>
      <c r="F52" s="620">
        <v>350</v>
      </c>
      <c r="G52" s="97"/>
      <c r="H52" s="621">
        <f t="shared" si="3"/>
        <v>0</v>
      </c>
      <c r="I52" s="96">
        <f t="shared" si="4"/>
        <v>-50</v>
      </c>
      <c r="J52" s="620">
        <v>375</v>
      </c>
      <c r="K52" s="97"/>
      <c r="L52" s="620">
        <v>375</v>
      </c>
      <c r="M52" s="97"/>
      <c r="N52" s="621">
        <f t="shared" si="2"/>
        <v>0</v>
      </c>
      <c r="O52" s="221">
        <f t="shared" si="5"/>
        <v>25</v>
      </c>
      <c r="P52" s="156"/>
    </row>
    <row r="53" spans="1:16" ht="12.75" customHeight="1" x14ac:dyDescent="0.2">
      <c r="A53" s="243" t="s">
        <v>202</v>
      </c>
      <c r="B53" s="620">
        <v>734</v>
      </c>
      <c r="D53" s="620">
        <v>870</v>
      </c>
      <c r="E53" s="97"/>
      <c r="F53" s="620">
        <v>870</v>
      </c>
      <c r="G53" s="97"/>
      <c r="H53" s="621">
        <f t="shared" si="3"/>
        <v>0</v>
      </c>
      <c r="I53" s="96">
        <f t="shared" si="4"/>
        <v>136</v>
      </c>
      <c r="J53" s="620">
        <v>860</v>
      </c>
      <c r="K53" s="97"/>
      <c r="L53" s="620">
        <v>860</v>
      </c>
      <c r="M53" s="97"/>
      <c r="N53" s="621">
        <f t="shared" si="2"/>
        <v>0</v>
      </c>
      <c r="O53" s="221">
        <f t="shared" si="5"/>
        <v>-10</v>
      </c>
      <c r="P53" s="156"/>
    </row>
    <row r="54" spans="1:16" ht="12.75" customHeight="1" x14ac:dyDescent="0.2">
      <c r="A54" s="243" t="s">
        <v>203</v>
      </c>
      <c r="B54" s="620">
        <v>740</v>
      </c>
      <c r="D54" s="620">
        <v>850</v>
      </c>
      <c r="E54" s="97"/>
      <c r="F54" s="620">
        <v>850</v>
      </c>
      <c r="G54" s="97"/>
      <c r="H54" s="621">
        <f t="shared" si="3"/>
        <v>0</v>
      </c>
      <c r="I54" s="96">
        <f t="shared" si="4"/>
        <v>110</v>
      </c>
      <c r="J54" s="620">
        <v>800</v>
      </c>
      <c r="K54" s="97"/>
      <c r="L54" s="620">
        <v>900</v>
      </c>
      <c r="M54" s="97"/>
      <c r="N54" s="621">
        <f t="shared" si="2"/>
        <v>100</v>
      </c>
      <c r="O54" s="221">
        <f t="shared" si="5"/>
        <v>50</v>
      </c>
      <c r="P54" s="156"/>
    </row>
    <row r="55" spans="1:16" ht="12.75" customHeight="1" x14ac:dyDescent="0.2">
      <c r="A55" s="243" t="s">
        <v>204</v>
      </c>
      <c r="B55" s="620">
        <v>445</v>
      </c>
      <c r="D55" s="620">
        <v>300</v>
      </c>
      <c r="E55" s="97"/>
      <c r="F55" s="620">
        <v>500</v>
      </c>
      <c r="G55" s="97"/>
      <c r="H55" s="621">
        <f t="shared" si="3"/>
        <v>200</v>
      </c>
      <c r="I55" s="96">
        <f t="shared" si="4"/>
        <v>55</v>
      </c>
      <c r="J55" s="620">
        <v>350</v>
      </c>
      <c r="K55" s="97"/>
      <c r="L55" s="620">
        <v>750</v>
      </c>
      <c r="M55" s="97"/>
      <c r="N55" s="621">
        <f t="shared" si="2"/>
        <v>400</v>
      </c>
      <c r="O55" s="221">
        <f t="shared" si="5"/>
        <v>250</v>
      </c>
      <c r="P55" s="156"/>
    </row>
    <row r="56" spans="1:16" ht="12.75" customHeight="1" x14ac:dyDescent="0.2">
      <c r="A56" s="243" t="s">
        <v>259</v>
      </c>
      <c r="B56" s="620">
        <v>100</v>
      </c>
      <c r="D56" s="620">
        <v>110</v>
      </c>
      <c r="E56" s="97"/>
      <c r="F56" s="620">
        <v>110</v>
      </c>
      <c r="G56" s="97"/>
      <c r="H56" s="621">
        <f t="shared" si="3"/>
        <v>0</v>
      </c>
      <c r="I56" s="96">
        <f t="shared" si="4"/>
        <v>10</v>
      </c>
      <c r="J56" s="620">
        <v>105</v>
      </c>
      <c r="K56" s="97"/>
      <c r="L56" s="620">
        <v>105</v>
      </c>
      <c r="M56" s="97"/>
      <c r="N56" s="621">
        <f t="shared" si="2"/>
        <v>0</v>
      </c>
      <c r="O56" s="221">
        <f t="shared" si="5"/>
        <v>-5</v>
      </c>
      <c r="P56" s="156"/>
    </row>
    <row r="57" spans="1:16" ht="12.75" customHeight="1" x14ac:dyDescent="0.2">
      <c r="A57" s="244" t="s">
        <v>237</v>
      </c>
      <c r="B57" s="620">
        <v>300</v>
      </c>
      <c r="D57" s="620">
        <v>300</v>
      </c>
      <c r="E57" s="97"/>
      <c r="F57" s="620">
        <v>300</v>
      </c>
      <c r="G57" s="97"/>
      <c r="H57" s="621">
        <f t="shared" si="3"/>
        <v>0</v>
      </c>
      <c r="I57" s="96">
        <f t="shared" si="4"/>
        <v>0</v>
      </c>
      <c r="J57" s="620">
        <v>300</v>
      </c>
      <c r="K57" s="97"/>
      <c r="L57" s="620">
        <v>300</v>
      </c>
      <c r="M57" s="97"/>
      <c r="N57" s="621">
        <f t="shared" si="2"/>
        <v>0</v>
      </c>
      <c r="O57" s="221">
        <f t="shared" si="5"/>
        <v>0</v>
      </c>
      <c r="P57" s="156"/>
    </row>
    <row r="58" spans="1:16" ht="12.75" customHeight="1" x14ac:dyDescent="0.2">
      <c r="A58" s="243" t="s">
        <v>205</v>
      </c>
      <c r="B58" s="620">
        <v>2000</v>
      </c>
      <c r="D58" s="620">
        <v>2000</v>
      </c>
      <c r="E58" s="97"/>
      <c r="F58" s="620">
        <v>2100</v>
      </c>
      <c r="G58" s="97"/>
      <c r="H58" s="621">
        <f t="shared" si="3"/>
        <v>100</v>
      </c>
      <c r="I58" s="96">
        <f t="shared" si="4"/>
        <v>100</v>
      </c>
      <c r="J58" s="620">
        <v>2000</v>
      </c>
      <c r="K58" s="97"/>
      <c r="L58" s="620">
        <v>2100</v>
      </c>
      <c r="M58" s="97"/>
      <c r="N58" s="621">
        <f t="shared" si="2"/>
        <v>100</v>
      </c>
      <c r="O58" s="221">
        <f t="shared" si="5"/>
        <v>0</v>
      </c>
      <c r="P58" s="156"/>
    </row>
    <row r="59" spans="1:16" ht="12.75" customHeight="1" x14ac:dyDescent="0.2">
      <c r="A59" s="243" t="s">
        <v>266</v>
      </c>
      <c r="B59" s="620">
        <v>297</v>
      </c>
      <c r="D59" s="620">
        <v>285</v>
      </c>
      <c r="E59" s="97"/>
      <c r="F59" s="620">
        <v>285</v>
      </c>
      <c r="G59" s="97"/>
      <c r="H59" s="621">
        <f t="shared" si="3"/>
        <v>0</v>
      </c>
      <c r="I59" s="96">
        <f t="shared" si="4"/>
        <v>-12</v>
      </c>
      <c r="J59" s="620">
        <v>300</v>
      </c>
      <c r="K59" s="97"/>
      <c r="L59" s="620">
        <v>300</v>
      </c>
      <c r="M59" s="97"/>
      <c r="N59" s="621">
        <f t="shared" si="2"/>
        <v>0</v>
      </c>
      <c r="O59" s="221">
        <f t="shared" si="5"/>
        <v>15</v>
      </c>
      <c r="P59" s="156"/>
    </row>
    <row r="60" spans="1:16" ht="12.75" customHeight="1" x14ac:dyDescent="0.2">
      <c r="A60" s="243" t="s">
        <v>260</v>
      </c>
      <c r="B60" s="620">
        <v>135</v>
      </c>
      <c r="D60" s="620">
        <v>125</v>
      </c>
      <c r="E60" s="97"/>
      <c r="F60" s="620">
        <v>120</v>
      </c>
      <c r="G60" s="97"/>
      <c r="H60" s="621">
        <f t="shared" si="3"/>
        <v>-5</v>
      </c>
      <c r="I60" s="96">
        <f t="shared" si="4"/>
        <v>-15</v>
      </c>
      <c r="J60" s="620">
        <v>130</v>
      </c>
      <c r="K60" s="97"/>
      <c r="L60" s="620">
        <v>130</v>
      </c>
      <c r="M60" s="97"/>
      <c r="N60" s="621">
        <f t="shared" si="2"/>
        <v>0</v>
      </c>
      <c r="O60" s="221">
        <f t="shared" si="5"/>
        <v>10</v>
      </c>
      <c r="P60" s="156"/>
    </row>
    <row r="61" spans="1:16" ht="12.75" customHeight="1" x14ac:dyDescent="0.2">
      <c r="A61" s="243" t="s">
        <v>208</v>
      </c>
      <c r="B61" s="620">
        <v>142</v>
      </c>
      <c r="D61" s="620">
        <v>160</v>
      </c>
      <c r="E61" s="97"/>
      <c r="F61" s="620">
        <v>160</v>
      </c>
      <c r="G61" s="97"/>
      <c r="H61" s="621">
        <f t="shared" si="3"/>
        <v>0</v>
      </c>
      <c r="I61" s="96">
        <f t="shared" si="4"/>
        <v>18</v>
      </c>
      <c r="J61" s="620">
        <v>145</v>
      </c>
      <c r="K61" s="97"/>
      <c r="L61" s="620">
        <v>145</v>
      </c>
      <c r="M61" s="97"/>
      <c r="N61" s="621">
        <f t="shared" si="2"/>
        <v>0</v>
      </c>
      <c r="O61" s="221">
        <f t="shared" si="5"/>
        <v>-15</v>
      </c>
      <c r="P61" s="156"/>
    </row>
    <row r="62" spans="1:16" ht="12.75" customHeight="1" x14ac:dyDescent="0.2">
      <c r="A62" s="243" t="s">
        <v>209</v>
      </c>
      <c r="B62" s="622">
        <v>3900</v>
      </c>
      <c r="D62" s="622">
        <v>4600</v>
      </c>
      <c r="E62" s="141"/>
      <c r="F62" s="622">
        <v>4700</v>
      </c>
      <c r="G62" s="141"/>
      <c r="H62" s="623">
        <f t="shared" si="3"/>
        <v>100</v>
      </c>
      <c r="I62" s="96">
        <f t="shared" si="4"/>
        <v>800</v>
      </c>
      <c r="J62" s="622">
        <v>4600</v>
      </c>
      <c r="K62" s="141"/>
      <c r="L62" s="622">
        <v>4900</v>
      </c>
      <c r="M62" s="141"/>
      <c r="N62" s="621">
        <f t="shared" si="2"/>
        <v>300</v>
      </c>
      <c r="O62" s="221">
        <f t="shared" si="5"/>
        <v>200</v>
      </c>
      <c r="P62" s="156"/>
    </row>
    <row r="63" spans="1:16" ht="12.75" customHeight="1" x14ac:dyDescent="0.2">
      <c r="A63" s="243" t="s">
        <v>267</v>
      </c>
      <c r="B63" s="620">
        <v>193</v>
      </c>
      <c r="D63" s="620">
        <v>185</v>
      </c>
      <c r="E63" s="97"/>
      <c r="F63" s="620">
        <v>185</v>
      </c>
      <c r="G63" s="97"/>
      <c r="H63" s="621">
        <f t="shared" si="3"/>
        <v>0</v>
      </c>
      <c r="I63" s="96">
        <f t="shared" si="4"/>
        <v>-8</v>
      </c>
      <c r="J63" s="620">
        <v>200</v>
      </c>
      <c r="K63" s="97"/>
      <c r="L63" s="620">
        <v>200</v>
      </c>
      <c r="M63" s="97"/>
      <c r="N63" s="621">
        <f t="shared" si="2"/>
        <v>0</v>
      </c>
      <c r="O63" s="221">
        <f t="shared" si="5"/>
        <v>15</v>
      </c>
      <c r="P63" s="156"/>
    </row>
    <row r="64" spans="1:16" ht="12.75" customHeight="1" x14ac:dyDescent="0.2">
      <c r="A64" s="243" t="s">
        <v>210</v>
      </c>
      <c r="B64" s="620">
        <v>218</v>
      </c>
      <c r="D64" s="620">
        <v>200</v>
      </c>
      <c r="E64" s="97"/>
      <c r="F64" s="620">
        <v>200</v>
      </c>
      <c r="G64" s="97"/>
      <c r="H64" s="621">
        <f t="shared" si="3"/>
        <v>0</v>
      </c>
      <c r="I64" s="96">
        <f t="shared" si="4"/>
        <v>-18</v>
      </c>
      <c r="J64" s="620">
        <v>175</v>
      </c>
      <c r="K64" s="97"/>
      <c r="L64" s="620">
        <v>175</v>
      </c>
      <c r="M64" s="97"/>
      <c r="N64" s="621">
        <f t="shared" si="2"/>
        <v>0</v>
      </c>
      <c r="O64" s="221">
        <f t="shared" si="5"/>
        <v>-25</v>
      </c>
      <c r="P64" s="156"/>
    </row>
    <row r="65" spans="1:16" ht="12.75" customHeight="1" x14ac:dyDescent="0.2">
      <c r="A65" s="243" t="s">
        <v>236</v>
      </c>
      <c r="B65" s="620">
        <v>1487</v>
      </c>
      <c r="D65" s="620">
        <v>1600</v>
      </c>
      <c r="E65" s="97"/>
      <c r="F65" s="620">
        <v>1600</v>
      </c>
      <c r="G65" s="97"/>
      <c r="H65" s="621">
        <f t="shared" si="3"/>
        <v>0</v>
      </c>
      <c r="I65" s="96">
        <f t="shared" si="4"/>
        <v>113</v>
      </c>
      <c r="J65" s="620">
        <v>1700</v>
      </c>
      <c r="K65" s="97"/>
      <c r="L65" s="620">
        <v>1700</v>
      </c>
      <c r="M65" s="97"/>
      <c r="N65" s="621">
        <f t="shared" si="2"/>
        <v>0</v>
      </c>
      <c r="O65" s="221">
        <f t="shared" si="5"/>
        <v>100</v>
      </c>
      <c r="P65" s="156"/>
    </row>
    <row r="66" spans="1:16" ht="12.75" customHeight="1" x14ac:dyDescent="0.2">
      <c r="A66" s="243" t="s">
        <v>228</v>
      </c>
      <c r="B66" s="620">
        <v>1300</v>
      </c>
      <c r="D66" s="620">
        <v>1400</v>
      </c>
      <c r="E66" s="97"/>
      <c r="F66" s="620">
        <v>1400</v>
      </c>
      <c r="G66" s="97"/>
      <c r="H66" s="621">
        <f t="shared" si="3"/>
        <v>0</v>
      </c>
      <c r="I66" s="96">
        <f t="shared" si="4"/>
        <v>100</v>
      </c>
      <c r="J66" s="620">
        <v>1400</v>
      </c>
      <c r="K66" s="97"/>
      <c r="L66" s="620">
        <v>1400</v>
      </c>
      <c r="M66" s="97"/>
      <c r="N66" s="621">
        <f t="shared" si="2"/>
        <v>0</v>
      </c>
      <c r="O66" s="221">
        <f t="shared" si="5"/>
        <v>0</v>
      </c>
      <c r="P66" s="156"/>
    </row>
    <row r="67" spans="1:16" ht="12.75" customHeight="1" x14ac:dyDescent="0.2">
      <c r="A67" s="243" t="s">
        <v>211</v>
      </c>
      <c r="B67" s="620">
        <v>395</v>
      </c>
      <c r="D67" s="620">
        <v>375</v>
      </c>
      <c r="E67" s="97"/>
      <c r="F67" s="620">
        <v>375</v>
      </c>
      <c r="G67" s="97"/>
      <c r="H67" s="621">
        <f t="shared" si="3"/>
        <v>0</v>
      </c>
      <c r="I67" s="96">
        <f t="shared" si="4"/>
        <v>-20</v>
      </c>
      <c r="J67" s="620">
        <v>400</v>
      </c>
      <c r="K67" s="97"/>
      <c r="L67" s="620">
        <v>400</v>
      </c>
      <c r="M67" s="97"/>
      <c r="N67" s="621">
        <f t="shared" si="2"/>
        <v>0</v>
      </c>
      <c r="O67" s="221">
        <f t="shared" si="5"/>
        <v>25</v>
      </c>
      <c r="P67" s="156"/>
    </row>
    <row r="68" spans="1:16" ht="12.75" customHeight="1" x14ac:dyDescent="0.2">
      <c r="A68" s="243" t="s">
        <v>235</v>
      </c>
      <c r="B68" s="620">
        <v>433</v>
      </c>
      <c r="D68" s="620">
        <v>400</v>
      </c>
      <c r="E68" s="97"/>
      <c r="F68" s="620">
        <v>400</v>
      </c>
      <c r="G68" s="97"/>
      <c r="H68" s="621">
        <f t="shared" si="3"/>
        <v>0</v>
      </c>
      <c r="I68" s="96">
        <f t="shared" si="4"/>
        <v>-33</v>
      </c>
      <c r="J68" s="620">
        <v>425</v>
      </c>
      <c r="K68" s="97"/>
      <c r="L68" s="620">
        <v>425</v>
      </c>
      <c r="M68" s="97"/>
      <c r="N68" s="621">
        <f t="shared" si="2"/>
        <v>0</v>
      </c>
      <c r="O68" s="221">
        <f t="shared" si="5"/>
        <v>25</v>
      </c>
      <c r="P68" s="156"/>
    </row>
    <row r="69" spans="1:16" ht="12.75" customHeight="1" x14ac:dyDescent="0.2">
      <c r="A69" s="243" t="s">
        <v>256</v>
      </c>
      <c r="B69" s="620">
        <v>480</v>
      </c>
      <c r="D69" s="620">
        <v>600</v>
      </c>
      <c r="E69" s="97"/>
      <c r="F69" s="620">
        <v>600</v>
      </c>
      <c r="G69" s="97"/>
      <c r="H69" s="621">
        <f t="shared" si="3"/>
        <v>0</v>
      </c>
      <c r="I69" s="96">
        <f t="shared" si="4"/>
        <v>120</v>
      </c>
      <c r="J69" s="620">
        <v>650</v>
      </c>
      <c r="K69" s="97"/>
      <c r="L69" s="620">
        <v>650</v>
      </c>
      <c r="M69" s="97"/>
      <c r="N69" s="621">
        <f t="shared" si="2"/>
        <v>0</v>
      </c>
      <c r="O69" s="221">
        <f t="shared" si="5"/>
        <v>50</v>
      </c>
      <c r="P69" s="156"/>
    </row>
    <row r="70" spans="1:16" ht="12.75" customHeight="1" x14ac:dyDescent="0.2">
      <c r="A70" s="243" t="s">
        <v>227</v>
      </c>
      <c r="B70" s="620">
        <v>1221</v>
      </c>
      <c r="D70" s="620">
        <v>1100</v>
      </c>
      <c r="E70" s="97"/>
      <c r="F70" s="620">
        <v>1100</v>
      </c>
      <c r="G70" s="97"/>
      <c r="H70" s="621">
        <f t="shared" si="3"/>
        <v>0</v>
      </c>
      <c r="I70" s="96">
        <f t="shared" si="4"/>
        <v>-121</v>
      </c>
      <c r="J70" s="620">
        <v>1150</v>
      </c>
      <c r="K70" s="97"/>
      <c r="L70" s="620">
        <v>1150</v>
      </c>
      <c r="M70" s="97"/>
      <c r="N70" s="621">
        <f t="shared" si="2"/>
        <v>0</v>
      </c>
      <c r="O70" s="221">
        <f t="shared" si="5"/>
        <v>50</v>
      </c>
      <c r="P70" s="156"/>
    </row>
    <row r="71" spans="1:16" ht="12.75" customHeight="1" x14ac:dyDescent="0.2">
      <c r="A71" s="243" t="s">
        <v>212</v>
      </c>
      <c r="B71" s="620">
        <v>30</v>
      </c>
      <c r="D71" s="620">
        <v>50</v>
      </c>
      <c r="E71" s="97"/>
      <c r="F71" s="620">
        <v>50</v>
      </c>
      <c r="G71" s="97"/>
      <c r="H71" s="621">
        <f t="shared" si="3"/>
        <v>0</v>
      </c>
      <c r="I71" s="96">
        <f t="shared" si="4"/>
        <v>20</v>
      </c>
      <c r="J71" s="620">
        <v>50</v>
      </c>
      <c r="K71" s="97"/>
      <c r="L71" s="620">
        <v>50</v>
      </c>
      <c r="M71" s="97"/>
      <c r="N71" s="621">
        <f t="shared" si="2"/>
        <v>0</v>
      </c>
      <c r="O71" s="221">
        <f t="shared" si="5"/>
        <v>0</v>
      </c>
      <c r="P71" s="156"/>
    </row>
    <row r="72" spans="1:16" s="131" customFormat="1" ht="12.75" customHeight="1" x14ac:dyDescent="0.2">
      <c r="A72" s="245" t="s">
        <v>234</v>
      </c>
      <c r="B72" s="620">
        <v>122</v>
      </c>
      <c r="C72" s="222"/>
      <c r="D72" s="620">
        <v>150</v>
      </c>
      <c r="E72" s="97"/>
      <c r="F72" s="620">
        <v>150</v>
      </c>
      <c r="G72" s="97"/>
      <c r="H72" s="621">
        <f t="shared" si="3"/>
        <v>0</v>
      </c>
      <c r="I72" s="96">
        <f t="shared" si="4"/>
        <v>28</v>
      </c>
      <c r="J72" s="620">
        <v>160</v>
      </c>
      <c r="K72" s="97"/>
      <c r="L72" s="620">
        <v>160</v>
      </c>
      <c r="M72" s="97"/>
      <c r="N72" s="621">
        <f t="shared" si="2"/>
        <v>0</v>
      </c>
      <c r="O72" s="221">
        <f t="shared" si="5"/>
        <v>10</v>
      </c>
      <c r="P72" s="157"/>
    </row>
    <row r="73" spans="1:16" s="131" customFormat="1" ht="12.75" customHeight="1" x14ac:dyDescent="0.2">
      <c r="A73" s="245" t="s">
        <v>213</v>
      </c>
      <c r="B73" s="620">
        <v>109</v>
      </c>
      <c r="C73" s="222"/>
      <c r="D73" s="620">
        <v>110</v>
      </c>
      <c r="E73" s="97"/>
      <c r="F73" s="620">
        <v>110</v>
      </c>
      <c r="G73" s="97"/>
      <c r="H73" s="621">
        <f t="shared" si="3"/>
        <v>0</v>
      </c>
      <c r="I73" s="96">
        <f t="shared" si="4"/>
        <v>1</v>
      </c>
      <c r="J73" s="620">
        <v>110</v>
      </c>
      <c r="K73" s="97"/>
      <c r="L73" s="620">
        <v>110</v>
      </c>
      <c r="M73" s="97"/>
      <c r="N73" s="621">
        <f t="shared" ref="N73:N87" si="17">L73-J73</f>
        <v>0</v>
      </c>
      <c r="O73" s="221">
        <f t="shared" si="5"/>
        <v>0</v>
      </c>
      <c r="P73" s="157"/>
    </row>
    <row r="74" spans="1:16" s="131" customFormat="1" ht="12.75" customHeight="1" x14ac:dyDescent="0.2">
      <c r="A74" s="245" t="s">
        <v>214</v>
      </c>
      <c r="B74" s="620">
        <v>480</v>
      </c>
      <c r="C74" s="222"/>
      <c r="D74" s="620">
        <v>250</v>
      </c>
      <c r="E74" s="97"/>
      <c r="F74" s="620">
        <v>250</v>
      </c>
      <c r="G74" s="97"/>
      <c r="H74" s="621">
        <f t="shared" si="3"/>
        <v>0</v>
      </c>
      <c r="I74" s="96">
        <f t="shared" si="4"/>
        <v>-230</v>
      </c>
      <c r="J74" s="620">
        <v>275</v>
      </c>
      <c r="K74" s="97"/>
      <c r="L74" s="620">
        <v>300</v>
      </c>
      <c r="M74" s="97"/>
      <c r="N74" s="621">
        <f t="shared" si="17"/>
        <v>25</v>
      </c>
      <c r="O74" s="221">
        <f t="shared" si="5"/>
        <v>50</v>
      </c>
      <c r="P74" s="157"/>
    </row>
    <row r="75" spans="1:16" s="131" customFormat="1" ht="12.75" customHeight="1" x14ac:dyDescent="0.2">
      <c r="A75" s="245" t="s">
        <v>257</v>
      </c>
      <c r="B75" s="620">
        <v>385</v>
      </c>
      <c r="C75" s="222"/>
      <c r="D75" s="620">
        <v>275</v>
      </c>
      <c r="E75" s="97"/>
      <c r="F75" s="620">
        <v>275</v>
      </c>
      <c r="G75" s="97"/>
      <c r="H75" s="621">
        <f t="shared" si="3"/>
        <v>0</v>
      </c>
      <c r="I75" s="96">
        <f t="shared" si="4"/>
        <v>-110</v>
      </c>
      <c r="J75" s="620">
        <v>325</v>
      </c>
      <c r="K75" s="97"/>
      <c r="L75" s="620">
        <v>400</v>
      </c>
      <c r="M75" s="97"/>
      <c r="N75" s="621">
        <f t="shared" si="17"/>
        <v>75</v>
      </c>
      <c r="O75" s="221">
        <f t="shared" si="5"/>
        <v>125</v>
      </c>
      <c r="P75" s="157"/>
    </row>
    <row r="76" spans="1:16" s="131" customFormat="1" ht="12.75" customHeight="1" x14ac:dyDescent="0.2">
      <c r="A76" s="245" t="s">
        <v>216</v>
      </c>
      <c r="B76" s="620">
        <v>491</v>
      </c>
      <c r="C76" s="222"/>
      <c r="D76" s="620">
        <v>375</v>
      </c>
      <c r="E76" s="97"/>
      <c r="F76" s="620">
        <v>375</v>
      </c>
      <c r="G76" s="97"/>
      <c r="H76" s="621">
        <f t="shared" si="3"/>
        <v>0</v>
      </c>
      <c r="I76" s="222">
        <f t="shared" si="4"/>
        <v>-116</v>
      </c>
      <c r="J76" s="620">
        <v>450</v>
      </c>
      <c r="K76" s="97"/>
      <c r="L76" s="620">
        <v>450</v>
      </c>
      <c r="M76" s="97"/>
      <c r="N76" s="621">
        <f t="shared" si="17"/>
        <v>0</v>
      </c>
      <c r="O76" s="223">
        <f t="shared" si="5"/>
        <v>75</v>
      </c>
      <c r="P76" s="157"/>
    </row>
    <row r="77" spans="1:16" s="131" customFormat="1" ht="12.75" customHeight="1" x14ac:dyDescent="0.2">
      <c r="A77" s="245" t="s">
        <v>233</v>
      </c>
      <c r="B77" s="620">
        <v>900</v>
      </c>
      <c r="C77" s="222"/>
      <c r="D77" s="620">
        <v>875</v>
      </c>
      <c r="E77" s="97"/>
      <c r="F77" s="620">
        <v>925</v>
      </c>
      <c r="G77" s="97"/>
      <c r="H77" s="621">
        <f t="shared" si="3"/>
        <v>50</v>
      </c>
      <c r="I77" s="222">
        <f t="shared" ref="I77:I87" si="18">F77-B77</f>
        <v>25</v>
      </c>
      <c r="J77" s="620">
        <v>950</v>
      </c>
      <c r="K77" s="97"/>
      <c r="L77" s="620">
        <v>975</v>
      </c>
      <c r="M77" s="97"/>
      <c r="N77" s="621">
        <f t="shared" si="17"/>
        <v>25</v>
      </c>
      <c r="O77" s="223">
        <f t="shared" ref="O77:O87" si="19">L77-F77</f>
        <v>50</v>
      </c>
      <c r="P77" s="157"/>
    </row>
    <row r="78" spans="1:16" s="131" customFormat="1" ht="12.75" customHeight="1" x14ac:dyDescent="0.2">
      <c r="A78" s="245" t="s">
        <v>291</v>
      </c>
      <c r="B78" s="620">
        <v>667</v>
      </c>
      <c r="C78" s="222"/>
      <c r="D78" s="620">
        <v>680</v>
      </c>
      <c r="E78" s="97"/>
      <c r="F78" s="620">
        <v>680</v>
      </c>
      <c r="G78" s="97"/>
      <c r="H78" s="621">
        <f t="shared" si="3"/>
        <v>0</v>
      </c>
      <c r="I78" s="222">
        <f t="shared" si="18"/>
        <v>13</v>
      </c>
      <c r="J78" s="620">
        <v>700</v>
      </c>
      <c r="K78" s="97"/>
      <c r="L78" s="620">
        <v>700</v>
      </c>
      <c r="M78" s="97"/>
      <c r="N78" s="621">
        <f t="shared" si="17"/>
        <v>0</v>
      </c>
      <c r="O78" s="223">
        <f t="shared" si="19"/>
        <v>20</v>
      </c>
      <c r="P78" s="157"/>
    </row>
    <row r="79" spans="1:16" s="131" customFormat="1" ht="12.75" customHeight="1" x14ac:dyDescent="0.2">
      <c r="A79" s="245" t="s">
        <v>218</v>
      </c>
      <c r="B79" s="622">
        <v>1360</v>
      </c>
      <c r="C79" s="222"/>
      <c r="D79" s="622">
        <v>1450</v>
      </c>
      <c r="E79" s="97"/>
      <c r="F79" s="622">
        <v>1450</v>
      </c>
      <c r="G79" s="97"/>
      <c r="H79" s="621">
        <f t="shared" ref="H79:H85" si="20">F79-D79</f>
        <v>0</v>
      </c>
      <c r="I79" s="222">
        <f t="shared" si="18"/>
        <v>90</v>
      </c>
      <c r="J79" s="622">
        <v>1500</v>
      </c>
      <c r="K79" s="97"/>
      <c r="L79" s="622">
        <v>1500</v>
      </c>
      <c r="M79" s="97"/>
      <c r="N79" s="621">
        <f t="shared" si="17"/>
        <v>0</v>
      </c>
      <c r="O79" s="223">
        <f t="shared" si="19"/>
        <v>50</v>
      </c>
      <c r="P79" s="157"/>
    </row>
    <row r="80" spans="1:16" s="131" customFormat="1" ht="12.75" customHeight="1" x14ac:dyDescent="0.2">
      <c r="A80" s="245" t="s">
        <v>274</v>
      </c>
      <c r="B80" s="622">
        <v>86</v>
      </c>
      <c r="C80" s="222"/>
      <c r="D80" s="622">
        <v>80</v>
      </c>
      <c r="E80" s="97"/>
      <c r="F80" s="622">
        <v>80</v>
      </c>
      <c r="G80" s="97"/>
      <c r="H80" s="621">
        <f t="shared" ref="H80" si="21">F80-D80</f>
        <v>0</v>
      </c>
      <c r="I80" s="222">
        <f t="shared" ref="I80" si="22">F80-B80</f>
        <v>-6</v>
      </c>
      <c r="J80" s="622">
        <v>75</v>
      </c>
      <c r="K80" s="97"/>
      <c r="L80" s="622">
        <v>75</v>
      </c>
      <c r="M80" s="97"/>
      <c r="N80" s="621">
        <f t="shared" si="17"/>
        <v>0</v>
      </c>
      <c r="O80" s="223">
        <f t="shared" si="19"/>
        <v>-5</v>
      </c>
      <c r="P80" s="157"/>
    </row>
    <row r="81" spans="1:25" s="131" customFormat="1" ht="12.75" customHeight="1" x14ac:dyDescent="0.2">
      <c r="A81" s="245" t="s">
        <v>220</v>
      </c>
      <c r="B81" s="620">
        <v>425</v>
      </c>
      <c r="C81" s="222"/>
      <c r="D81" s="620">
        <v>450</v>
      </c>
      <c r="E81" s="97"/>
      <c r="F81" s="620">
        <v>450</v>
      </c>
      <c r="G81" s="97"/>
      <c r="H81" s="621">
        <f t="shared" si="20"/>
        <v>0</v>
      </c>
      <c r="I81" s="222">
        <f t="shared" si="18"/>
        <v>25</v>
      </c>
      <c r="J81" s="620">
        <v>450</v>
      </c>
      <c r="K81" s="97"/>
      <c r="L81" s="620">
        <v>450</v>
      </c>
      <c r="M81" s="97"/>
      <c r="N81" s="621">
        <f t="shared" si="17"/>
        <v>0</v>
      </c>
      <c r="O81" s="223">
        <f t="shared" si="19"/>
        <v>0</v>
      </c>
      <c r="P81" s="157"/>
    </row>
    <row r="82" spans="1:25" s="131" customFormat="1" ht="12.75" customHeight="1" x14ac:dyDescent="0.2">
      <c r="A82" s="245" t="s">
        <v>221</v>
      </c>
      <c r="B82" s="620">
        <v>2750</v>
      </c>
      <c r="C82" s="222"/>
      <c r="D82" s="620">
        <v>2900</v>
      </c>
      <c r="E82" s="97"/>
      <c r="F82" s="620">
        <v>2900</v>
      </c>
      <c r="G82" s="97"/>
      <c r="H82" s="621">
        <f t="shared" si="20"/>
        <v>0</v>
      </c>
      <c r="I82" s="222">
        <f t="shared" si="18"/>
        <v>150</v>
      </c>
      <c r="J82" s="620">
        <v>2950</v>
      </c>
      <c r="K82" s="97"/>
      <c r="L82" s="620">
        <v>2950</v>
      </c>
      <c r="M82" s="97"/>
      <c r="N82" s="621">
        <f t="shared" si="17"/>
        <v>0</v>
      </c>
      <c r="O82" s="223">
        <f t="shared" si="19"/>
        <v>50</v>
      </c>
      <c r="P82" s="157"/>
    </row>
    <row r="83" spans="1:25" s="131" customFormat="1" ht="12.75" customHeight="1" x14ac:dyDescent="0.2">
      <c r="A83" s="245" t="s">
        <v>232</v>
      </c>
      <c r="B83" s="620">
        <v>550</v>
      </c>
      <c r="C83" s="222"/>
      <c r="D83" s="620">
        <v>575</v>
      </c>
      <c r="E83" s="97"/>
      <c r="F83" s="620">
        <v>575</v>
      </c>
      <c r="G83" s="97"/>
      <c r="H83" s="621">
        <f t="shared" si="20"/>
        <v>0</v>
      </c>
      <c r="I83" s="222">
        <f t="shared" si="18"/>
        <v>25</v>
      </c>
      <c r="J83" s="620">
        <v>600</v>
      </c>
      <c r="K83" s="97"/>
      <c r="L83" s="620">
        <v>600</v>
      </c>
      <c r="M83" s="97"/>
      <c r="N83" s="621">
        <f t="shared" si="17"/>
        <v>0</v>
      </c>
      <c r="O83" s="223">
        <f t="shared" si="19"/>
        <v>25</v>
      </c>
    </row>
    <row r="84" spans="1:25" s="131" customFormat="1" ht="12.75" customHeight="1" x14ac:dyDescent="0.2">
      <c r="A84" s="245" t="s">
        <v>231</v>
      </c>
      <c r="B84" s="624">
        <f>SUM(B7:B83)</f>
        <v>50421</v>
      </c>
      <c r="C84" s="222"/>
      <c r="D84" s="624">
        <f>SUM(D7:D83)</f>
        <v>52065</v>
      </c>
      <c r="E84" s="317"/>
      <c r="F84" s="624">
        <f>SUM(F7:F83)</f>
        <v>52820</v>
      </c>
      <c r="G84" s="317"/>
      <c r="H84" s="625">
        <f t="shared" si="20"/>
        <v>755</v>
      </c>
      <c r="I84" s="317">
        <f t="shared" si="18"/>
        <v>2399</v>
      </c>
      <c r="J84" s="624">
        <f>SUM(J7:J83)</f>
        <v>50515</v>
      </c>
      <c r="K84" s="317"/>
      <c r="L84" s="624">
        <f>SUM(L7:L83)</f>
        <v>52890</v>
      </c>
      <c r="M84" s="317"/>
      <c r="N84" s="621">
        <f>L84-J84</f>
        <v>2375</v>
      </c>
      <c r="O84" s="246">
        <f>L84-F84</f>
        <v>70</v>
      </c>
    </row>
    <row r="85" spans="1:25" s="131" customFormat="1" ht="12.75" customHeight="1" x14ac:dyDescent="0.2">
      <c r="A85" s="245" t="s">
        <v>230</v>
      </c>
      <c r="B85" s="626">
        <f>B87-B84</f>
        <v>2870</v>
      </c>
      <c r="C85" s="222"/>
      <c r="D85" s="626">
        <f>D87-D84</f>
        <v>3425</v>
      </c>
      <c r="E85" s="247"/>
      <c r="F85" s="626">
        <f>F87-F84</f>
        <v>3475</v>
      </c>
      <c r="G85" s="247"/>
      <c r="H85" s="621">
        <f t="shared" si="20"/>
        <v>50</v>
      </c>
      <c r="I85" s="247">
        <f t="shared" si="18"/>
        <v>605</v>
      </c>
      <c r="J85" s="626">
        <f>J87-J84</f>
        <v>3504</v>
      </c>
      <c r="K85" s="247"/>
      <c r="L85" s="626">
        <f>L87-L84</f>
        <v>3424</v>
      </c>
      <c r="M85" s="247"/>
      <c r="N85" s="621">
        <f t="shared" si="17"/>
        <v>-80</v>
      </c>
      <c r="O85" s="248">
        <f t="shared" si="19"/>
        <v>-51</v>
      </c>
    </row>
    <row r="86" spans="1:25" s="131" customFormat="1" ht="12.75" customHeight="1" x14ac:dyDescent="0.2">
      <c r="A86" s="249"/>
      <c r="B86" s="627"/>
      <c r="C86" s="222"/>
      <c r="D86" s="627"/>
      <c r="E86" s="134"/>
      <c r="F86" s="627"/>
      <c r="G86" s="134"/>
      <c r="H86" s="621"/>
      <c r="I86" s="222"/>
      <c r="J86" s="627"/>
      <c r="K86" s="134"/>
      <c r="L86" s="627"/>
      <c r="M86" s="134"/>
      <c r="N86" s="621"/>
      <c r="O86" s="223"/>
      <c r="V86" s="140"/>
    </row>
    <row r="87" spans="1:25" s="280" customFormat="1" ht="12.75" customHeight="1" thickBot="1" x14ac:dyDescent="0.25">
      <c r="A87" s="275" t="s">
        <v>224</v>
      </c>
      <c r="B87" s="628">
        <v>53291</v>
      </c>
      <c r="C87" s="276"/>
      <c r="D87" s="629">
        <v>55490</v>
      </c>
      <c r="E87" s="277"/>
      <c r="F87" s="629">
        <v>56295</v>
      </c>
      <c r="G87" s="225"/>
      <c r="H87" s="630">
        <f>F87-D87</f>
        <v>805</v>
      </c>
      <c r="I87" s="278">
        <f t="shared" si="18"/>
        <v>3004</v>
      </c>
      <c r="J87" s="629">
        <v>54019</v>
      </c>
      <c r="K87" s="277"/>
      <c r="L87" s="629">
        <v>56314</v>
      </c>
      <c r="M87" s="225"/>
      <c r="N87" s="631">
        <f t="shared" si="17"/>
        <v>2295</v>
      </c>
      <c r="O87" s="279">
        <f t="shared" si="19"/>
        <v>19</v>
      </c>
      <c r="V87" s="281"/>
    </row>
    <row r="88" spans="1:25" ht="15.75" customHeight="1" x14ac:dyDescent="0.2">
      <c r="A88" s="124" t="s">
        <v>285</v>
      </c>
      <c r="B88" s="619"/>
      <c r="V88" s="68"/>
    </row>
    <row r="89" spans="1:25" ht="12" customHeight="1" x14ac:dyDescent="0.2">
      <c r="A89" s="115" t="s">
        <v>457</v>
      </c>
      <c r="B89" s="619"/>
      <c r="V89" s="68"/>
    </row>
    <row r="90" spans="1:25" x14ac:dyDescent="0.2">
      <c r="A90" s="115" t="s">
        <v>321</v>
      </c>
      <c r="B90" s="632"/>
      <c r="D90" s="632"/>
      <c r="E90" s="96"/>
      <c r="F90" s="632"/>
      <c r="G90" s="96"/>
      <c r="J90" s="632"/>
      <c r="K90" s="96"/>
      <c r="L90" s="632"/>
      <c r="M90" s="96"/>
      <c r="Y90" s="68"/>
    </row>
    <row r="91" spans="1:25" ht="12" customHeight="1" x14ac:dyDescent="0.2">
      <c r="A91" s="6" t="s">
        <v>477</v>
      </c>
      <c r="B91" s="619"/>
      <c r="V91" s="68"/>
    </row>
    <row r="92" spans="1:25" ht="11.1" customHeight="1" x14ac:dyDescent="0.2">
      <c r="B92" s="619"/>
      <c r="V92" s="68"/>
    </row>
    <row r="93" spans="1:25" ht="10.5" customHeight="1" x14ac:dyDescent="0.2">
      <c r="A93" s="113"/>
      <c r="B93" s="633"/>
      <c r="D93" s="633"/>
      <c r="E93" s="123"/>
      <c r="F93" s="633"/>
      <c r="G93" s="123"/>
      <c r="J93" s="633"/>
      <c r="K93" s="123"/>
      <c r="L93" s="633"/>
      <c r="M93" s="123"/>
      <c r="V93" s="68"/>
    </row>
    <row r="94" spans="1:25" x14ac:dyDescent="0.2">
      <c r="A94" s="96"/>
      <c r="B94" s="619"/>
      <c r="V94" s="68"/>
    </row>
    <row r="95" spans="1:25" x14ac:dyDescent="0.2">
      <c r="B95" s="619"/>
      <c r="V95" s="68"/>
    </row>
    <row r="96" spans="1:25" x14ac:dyDescent="0.2">
      <c r="B96" s="619"/>
      <c r="V96" s="68"/>
    </row>
    <row r="97" spans="2:28" x14ac:dyDescent="0.2">
      <c r="B97" s="619"/>
      <c r="V97" s="68"/>
    </row>
    <row r="98" spans="2:28" x14ac:dyDescent="0.2">
      <c r="B98" s="619"/>
      <c r="V98" s="68"/>
    </row>
    <row r="99" spans="2:28" x14ac:dyDescent="0.2">
      <c r="B99" s="619"/>
      <c r="V99" s="68"/>
    </row>
    <row r="100" spans="2:28" x14ac:dyDescent="0.2">
      <c r="B100" s="619"/>
      <c r="V100" s="68"/>
    </row>
    <row r="101" spans="2:28" x14ac:dyDescent="0.2">
      <c r="B101" s="619"/>
    </row>
    <row r="102" spans="2:28" x14ac:dyDescent="0.2">
      <c r="B102" s="619"/>
      <c r="V102" s="68"/>
    </row>
    <row r="103" spans="2:28" x14ac:dyDescent="0.2">
      <c r="B103" s="619"/>
      <c r="V103" s="75"/>
      <c r="X103" s="75"/>
      <c r="Y103" s="75"/>
    </row>
    <row r="104" spans="2:28" ht="11.1" customHeight="1" x14ac:dyDescent="0.2">
      <c r="B104" s="619"/>
      <c r="V104" s="75"/>
      <c r="X104" s="75"/>
      <c r="Y104" s="75"/>
      <c r="Z104" s="75"/>
      <c r="AA104" s="75"/>
      <c r="AB104" s="75"/>
    </row>
    <row r="105" spans="2:28" ht="11.1" customHeight="1" x14ac:dyDescent="0.2">
      <c r="B105" s="619"/>
      <c r="V105" s="68"/>
    </row>
    <row r="106" spans="2:28" ht="11.1" customHeight="1" x14ac:dyDescent="0.2">
      <c r="B106" s="619"/>
    </row>
    <row r="107" spans="2:28" ht="11.1" customHeight="1" x14ac:dyDescent="0.2">
      <c r="B107" s="619"/>
      <c r="V107" s="68"/>
    </row>
    <row r="108" spans="2:28" x14ac:dyDescent="0.2">
      <c r="B108" s="619"/>
      <c r="V108" s="68"/>
    </row>
    <row r="109" spans="2:28" x14ac:dyDescent="0.2">
      <c r="B109" s="619"/>
      <c r="V109" s="68"/>
    </row>
    <row r="110" spans="2:28" x14ac:dyDescent="0.2">
      <c r="B110" s="619"/>
      <c r="V110" s="68"/>
    </row>
    <row r="111" spans="2:28" x14ac:dyDescent="0.2">
      <c r="B111" s="619"/>
    </row>
    <row r="112" spans="2:28" x14ac:dyDescent="0.2">
      <c r="V112" s="68"/>
    </row>
    <row r="113" spans="4:21" x14ac:dyDescent="0.2">
      <c r="D113" s="634"/>
      <c r="F113" s="634"/>
      <c r="J113" s="634"/>
      <c r="L113" s="634"/>
    </row>
    <row r="114" spans="4:21" x14ac:dyDescent="0.2">
      <c r="D114" s="634"/>
      <c r="F114" s="634"/>
      <c r="J114" s="634"/>
      <c r="L114" s="634"/>
    </row>
    <row r="115" spans="4:21" x14ac:dyDescent="0.2">
      <c r="D115" s="634"/>
      <c r="F115" s="634"/>
      <c r="J115" s="634"/>
      <c r="L115" s="634"/>
    </row>
    <row r="116" spans="4:21" x14ac:dyDescent="0.2">
      <c r="D116" s="634"/>
      <c r="F116" s="634"/>
      <c r="J116" s="634"/>
      <c r="L116" s="634"/>
    </row>
    <row r="120" spans="4:21" x14ac:dyDescent="0.2">
      <c r="D120" s="634"/>
      <c r="F120" s="634"/>
      <c r="J120" s="634"/>
      <c r="L120" s="634"/>
    </row>
    <row r="121" spans="4:21" x14ac:dyDescent="0.2">
      <c r="D121" s="634"/>
      <c r="F121" s="634"/>
      <c r="J121" s="634"/>
      <c r="L121" s="634"/>
    </row>
    <row r="122" spans="4:21" x14ac:dyDescent="0.2">
      <c r="P122" s="82"/>
      <c r="Q122" s="82"/>
      <c r="R122" s="82"/>
      <c r="S122" s="82"/>
      <c r="T122" s="82"/>
      <c r="U122" s="82"/>
    </row>
    <row r="123" spans="4:21" x14ac:dyDescent="0.2">
      <c r="D123" s="634"/>
      <c r="F123" s="634"/>
      <c r="J123" s="634"/>
      <c r="L123" s="634"/>
      <c r="P123" s="82"/>
      <c r="Q123" s="82"/>
      <c r="R123" s="82"/>
      <c r="S123" s="82"/>
      <c r="T123" s="82"/>
      <c r="U123" s="82"/>
    </row>
    <row r="124" spans="4:21" x14ac:dyDescent="0.2">
      <c r="D124" s="634"/>
      <c r="F124" s="634"/>
      <c r="J124" s="634"/>
      <c r="L124" s="634"/>
    </row>
    <row r="125" spans="4:21" x14ac:dyDescent="0.2">
      <c r="D125" s="634"/>
      <c r="F125" s="634"/>
      <c r="J125" s="634"/>
      <c r="L125" s="634"/>
    </row>
    <row r="126" spans="4:21" x14ac:dyDescent="0.2">
      <c r="D126" s="634"/>
      <c r="F126" s="634"/>
      <c r="J126" s="634"/>
      <c r="L126" s="634"/>
    </row>
    <row r="127" spans="4:21" x14ac:dyDescent="0.2">
      <c r="D127" s="634"/>
      <c r="F127" s="634"/>
      <c r="J127" s="634"/>
      <c r="L127" s="634"/>
    </row>
    <row r="128" spans="4:21" x14ac:dyDescent="0.2">
      <c r="D128" s="634"/>
      <c r="F128" s="634"/>
      <c r="J128" s="634"/>
      <c r="L128" s="634"/>
    </row>
    <row r="130" spans="4:12" x14ac:dyDescent="0.2">
      <c r="D130" s="634"/>
      <c r="F130" s="634"/>
      <c r="J130" s="634"/>
      <c r="L130" s="634"/>
    </row>
    <row r="131" spans="4:12" x14ac:dyDescent="0.2">
      <c r="D131" s="634"/>
      <c r="F131" s="634"/>
      <c r="J131" s="634"/>
      <c r="L131" s="634"/>
    </row>
    <row r="132" spans="4:12" x14ac:dyDescent="0.2">
      <c r="D132" s="634"/>
      <c r="F132" s="634"/>
      <c r="J132" s="634"/>
      <c r="L132" s="634"/>
    </row>
    <row r="133" spans="4:12" x14ac:dyDescent="0.2">
      <c r="D133" s="634"/>
      <c r="F133" s="634"/>
      <c r="J133" s="634"/>
      <c r="L133" s="634"/>
    </row>
    <row r="134" spans="4:12" x14ac:dyDescent="0.2">
      <c r="D134" s="634"/>
      <c r="F134" s="634"/>
      <c r="J134" s="634"/>
      <c r="L134" s="634"/>
    </row>
    <row r="135" spans="4:12" x14ac:dyDescent="0.2">
      <c r="D135" s="634"/>
      <c r="F135" s="634"/>
      <c r="J135" s="634"/>
      <c r="L135" s="634"/>
    </row>
    <row r="136" spans="4:12" x14ac:dyDescent="0.2">
      <c r="D136" s="634"/>
      <c r="F136" s="634"/>
      <c r="J136" s="634"/>
      <c r="L136" s="634"/>
    </row>
    <row r="137" spans="4:12" x14ac:dyDescent="0.2">
      <c r="D137" s="634"/>
      <c r="F137" s="634"/>
      <c r="J137" s="634"/>
      <c r="L137" s="634"/>
    </row>
    <row r="138" spans="4:12" x14ac:dyDescent="0.2">
      <c r="D138" s="634"/>
      <c r="F138" s="634"/>
      <c r="J138" s="634"/>
      <c r="L138" s="634"/>
    </row>
    <row r="139" spans="4:12" x14ac:dyDescent="0.2">
      <c r="D139" s="634"/>
      <c r="F139" s="634"/>
      <c r="J139" s="634"/>
      <c r="L139" s="634"/>
    </row>
    <row r="140" spans="4:12" x14ac:dyDescent="0.2">
      <c r="D140" s="634"/>
      <c r="F140" s="634"/>
      <c r="J140" s="634"/>
      <c r="L140" s="634"/>
    </row>
    <row r="141" spans="4:12" x14ac:dyDescent="0.2">
      <c r="D141" s="634"/>
      <c r="F141" s="634"/>
      <c r="J141" s="634"/>
      <c r="L141" s="634"/>
    </row>
    <row r="142" spans="4:12" x14ac:dyDescent="0.2">
      <c r="D142" s="634"/>
      <c r="F142" s="634"/>
      <c r="J142" s="634"/>
      <c r="L142" s="634"/>
    </row>
    <row r="143" spans="4:12" x14ac:dyDescent="0.2">
      <c r="D143" s="634"/>
      <c r="F143" s="634"/>
      <c r="J143" s="634"/>
      <c r="L143" s="634"/>
    </row>
    <row r="144" spans="4:12" x14ac:dyDescent="0.2">
      <c r="D144" s="634"/>
      <c r="F144" s="634"/>
      <c r="J144" s="634"/>
      <c r="L144" s="634"/>
    </row>
    <row r="173" spans="4:12" x14ac:dyDescent="0.2">
      <c r="D173" s="634"/>
      <c r="F173" s="634"/>
      <c r="J173" s="634"/>
      <c r="L173" s="634"/>
    </row>
    <row r="177" spans="4:21" x14ac:dyDescent="0.2">
      <c r="D177" s="634"/>
      <c r="F177" s="634"/>
      <c r="J177" s="634"/>
      <c r="L177" s="634"/>
    </row>
    <row r="178" spans="4:21" x14ac:dyDescent="0.2">
      <c r="D178" s="634"/>
      <c r="F178" s="634"/>
      <c r="J178" s="634"/>
      <c r="L178" s="634"/>
      <c r="P178" s="82"/>
      <c r="Q178" s="82"/>
      <c r="R178" s="82"/>
      <c r="S178" s="82"/>
      <c r="T178" s="82"/>
      <c r="U178" s="82"/>
    </row>
    <row r="179" spans="4:21" x14ac:dyDescent="0.2">
      <c r="D179" s="634"/>
      <c r="F179" s="634"/>
      <c r="J179" s="634"/>
      <c r="L179" s="634"/>
    </row>
    <row r="180" spans="4:21" x14ac:dyDescent="0.2">
      <c r="D180" s="634"/>
      <c r="F180" s="634"/>
      <c r="J180" s="634"/>
      <c r="L180" s="634"/>
    </row>
    <row r="182" spans="4:21" x14ac:dyDescent="0.2">
      <c r="D182" s="634"/>
      <c r="F182" s="634"/>
      <c r="J182" s="634"/>
      <c r="L182" s="634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4fffb711-94bf-42d2-86e6-614eafb06a72"/>
    <ds:schemaRef ds:uri="2fcff277-b375-48ff-b4c9-6bcca27703f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Phil Jarrell</dc:creator>
  <cp:keywords>Production, stocks, exports, imports, domestic use, farm price</cp:keywords>
  <cp:lastModifiedBy>Pence, Aron - REE-ERS</cp:lastModifiedBy>
  <cp:lastPrinted>2024-10-16T14:15:46Z</cp:lastPrinted>
  <dcterms:created xsi:type="dcterms:W3CDTF">2003-10-16T13:04:59Z</dcterms:created>
  <dcterms:modified xsi:type="dcterms:W3CDTF">2024-10-16T16:25:10Z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